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BP" sheetId="1" r:id="rId1"/>
    <sheet name="DRE" sheetId="2" r:id="rId2"/>
    <sheet name="DRE AT" sheetId="3" r:id="rId3"/>
    <sheet name="DFC" sheetId="4" r:id="rId4"/>
    <sheet name="DVA" sheetId="5" r:id="rId5"/>
    <sheet name="DMPL" sheetId="6" r:id="rId6"/>
    <sheet name="Indicadores" sheetId="7" r:id="rId7"/>
  </sheets>
  <definedNames>
    <definedName name="_xlnm.Print_Area" localSheetId="0">'BP'!$A$1:$D$156</definedName>
    <definedName name="_xlnm.Print_Area" localSheetId="3">'DFC'!$B$1:$D$69</definedName>
    <definedName name="_xlnm.Print_Area" localSheetId="5">'DMPL'!$B$1:$I$76</definedName>
    <definedName name="_xlnm.Print_Area" localSheetId="1">'DRE'!$B$2:$H$74</definedName>
    <definedName name="_xlnm.Print_Area" localSheetId="2">'DRE AT'!$B$2:$E$69</definedName>
    <definedName name="_xlnm.Print_Area" localSheetId="4">'DVA'!$B$1:$F$61</definedName>
    <definedName name="Z_59C132D1_EA4E_4777_823A_A76A1A967BF8_.wvu.PrintArea" localSheetId="0" hidden="1">'BP'!$A$1:$D$156</definedName>
    <definedName name="Z_78A115E5_09D9_49AD_9BA8_29D51379FF77_.wvu.PrintArea" localSheetId="3" hidden="1">'DFC'!$B$1:$D$69</definedName>
    <definedName name="Z_7B0FAA9D_284A_4D25_BE45_C24271A063AE_.wvu.PrintArea" localSheetId="3" hidden="1">'DFC'!$B$1:$D$69</definedName>
    <definedName name="Z_A618C7AE_2C97_43D1_A598_755BF4F7C689_.wvu.PrintArea" localSheetId="3" hidden="1">'DFC'!$B$1:$D$69</definedName>
  </definedNames>
  <calcPr fullCalcOnLoad="1"/>
</workbook>
</file>

<file path=xl/comments1.xml><?xml version="1.0" encoding="utf-8"?>
<comments xmlns="http://schemas.openxmlformats.org/spreadsheetml/2006/main">
  <authors>
    <author>contab02</author>
    <author>ger-contab</author>
    <author>Jos? Roberto Simas</author>
  </authors>
  <commentList>
    <comment ref="G55" authorId="0">
      <text>
        <r>
          <rPr>
            <b/>
            <sz val="9"/>
            <rFont val="Tahoma"/>
            <family val="2"/>
          </rPr>
          <t>contab02:</t>
        </r>
        <r>
          <rPr>
            <sz val="9"/>
            <rFont val="Tahoma"/>
            <family val="2"/>
          </rPr>
          <t xml:space="preserve">
Depreciacões + custo dos bens baixados
</t>
        </r>
      </text>
    </comment>
    <comment ref="G18" authorId="1">
      <text>
        <r>
          <rPr>
            <b/>
            <sz val="9"/>
            <rFont val="Tahoma"/>
            <family val="2"/>
          </rPr>
          <t>ger-contab:</t>
        </r>
        <r>
          <rPr>
            <sz val="9"/>
            <rFont val="Tahoma"/>
            <family val="2"/>
          </rPr>
          <t xml:space="preserve">
Variação  Quotas</t>
        </r>
      </text>
    </comment>
    <comment ref="A87" authorId="2">
      <text>
        <r>
          <rPr>
            <b/>
            <sz val="9"/>
            <rFont val="Segoe UI"/>
            <family val="2"/>
          </rPr>
          <t>José Roberto Simas:</t>
        </r>
        <r>
          <rPr>
            <sz val="9"/>
            <rFont val="Segoe UI"/>
            <family val="2"/>
          </rPr>
          <t xml:space="preserve">
ORDEM DE EXIGIBILIDADES</t>
        </r>
      </text>
    </comment>
  </commentList>
</comments>
</file>

<file path=xl/comments4.xml><?xml version="1.0" encoding="utf-8"?>
<comments xmlns="http://schemas.openxmlformats.org/spreadsheetml/2006/main">
  <authors>
    <author>ger-contab</author>
    <author>contab02</author>
  </authors>
  <commentList>
    <comment ref="B50" authorId="0">
      <text>
        <r>
          <rPr>
            <b/>
            <sz val="9"/>
            <rFont val="Tahoma"/>
            <family val="2"/>
          </rPr>
          <t>ger-contab: Saldo balanço anterior + juros transcorridos e não pagos + liberações - saldo balanço atual</t>
        </r>
      </text>
    </comment>
    <comment ref="B11" authorId="1">
      <text>
        <r>
          <rPr>
            <b/>
            <sz val="9"/>
            <rFont val="Segoe UI"/>
            <family val="2"/>
          </rPr>
          <t>contab02:</t>
        </r>
        <r>
          <rPr>
            <sz val="9"/>
            <rFont val="Segoe UI"/>
            <family val="2"/>
          </rPr>
          <t xml:space="preserve">
Valor digitado refere-se ao custo dos bens baixados </t>
        </r>
      </text>
    </comment>
  </commentList>
</comments>
</file>

<file path=xl/comments5.xml><?xml version="1.0" encoding="utf-8"?>
<comments xmlns="http://schemas.openxmlformats.org/spreadsheetml/2006/main">
  <authors>
    <author>contab01</author>
    <author>contab02</author>
    <author>Dorly</author>
    <author>contab0</author>
  </authors>
  <commentList>
    <comment ref="B1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contab02:</t>
        </r>
        <r>
          <rPr>
            <sz val="9"/>
            <rFont val="Tahoma"/>
            <family val="2"/>
          </rPr>
          <t xml:space="preserve">
Custo vendas fábrica comercial e abatedouro, menos pessoal, encargos sociais,depreciacao do imobilizado ref fábricas, abatedouro, ubs, aviario coasul</t>
        </r>
      </text>
    </comment>
    <comment ref="B17" authorId="0">
      <text>
        <r>
          <rPr>
            <sz val="9"/>
            <rFont val="Tahoma"/>
            <family val="2"/>
          </rPr>
          <t xml:space="preserve">Custo total vendas, menos custo vendas fábrica, mais impostos s/ vendas, menos impostos s/ vendas recolhidos.
</t>
        </r>
      </text>
    </comment>
    <comment ref="B18" authorId="1">
      <text>
        <r>
          <rPr>
            <b/>
            <sz val="9"/>
            <rFont val="Tahoma"/>
            <family val="2"/>
          </rPr>
          <t>contab02:</t>
        </r>
        <r>
          <rPr>
            <sz val="9"/>
            <rFont val="Tahoma"/>
            <family val="2"/>
          </rPr>
          <t xml:space="preserve">
despesas operac.-pessoal-depreciacoes-alug despesa-trib federais-estaduais-municipais-iof- amortizações
</t>
        </r>
      </text>
    </comment>
    <comment ref="B35" authorId="2">
      <text>
        <r>
          <rPr>
            <b/>
            <sz val="9"/>
            <rFont val="Tahoma"/>
            <family val="2"/>
          </rPr>
          <t>Dorly:</t>
        </r>
        <r>
          <rPr>
            <sz val="9"/>
            <rFont val="Tahoma"/>
            <family val="2"/>
          </rPr>
          <t xml:space="preserve">
Salários
FGTS
PIS Folha
13o. Salário
Férias
Gastos Diversos c/Empregados
Vale transporte
Outros com pessoal</t>
        </r>
      </text>
    </comment>
    <comment ref="E35" authorId="3">
      <text>
        <r>
          <rPr>
            <b/>
            <sz val="9"/>
            <rFont val="Tahoma"/>
            <family val="2"/>
          </rPr>
          <t xml:space="preserve">contab0:
Gastos c/Pessoal-Pró-labore-cédula de presença-Contrib. p/ Prev. Social-Participação-Gasto Pessoal Fábrica
</t>
        </r>
      </text>
    </comment>
    <comment ref="B40" authorId="2">
      <text>
        <r>
          <rPr>
            <b/>
            <sz val="9"/>
            <rFont val="Tahoma"/>
            <family val="2"/>
          </rPr>
          <t>Dorly:</t>
        </r>
        <r>
          <rPr>
            <sz val="9"/>
            <rFont val="Tahoma"/>
            <family val="2"/>
          </rPr>
          <t xml:space="preserve">
Contri prev/ social
IOF
INSS, parte Empresa
Imposto de Renda PJ
CSLL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41" authorId="2">
      <text>
        <r>
          <rPr>
            <b/>
            <sz val="9"/>
            <rFont val="Tahoma"/>
            <family val="2"/>
          </rPr>
          <t>Dorly:</t>
        </r>
        <r>
          <rPr>
            <sz val="9"/>
            <rFont val="Tahoma"/>
            <family val="2"/>
          </rPr>
          <t xml:space="preserve">
conta tributos estaduais 
</t>
        </r>
      </text>
    </comment>
    <comment ref="B42" authorId="2">
      <text>
        <r>
          <rPr>
            <b/>
            <sz val="9"/>
            <rFont val="Tahoma"/>
            <family val="2"/>
          </rPr>
          <t>Dorly:</t>
        </r>
        <r>
          <rPr>
            <sz val="9"/>
            <rFont val="Tahoma"/>
            <family val="2"/>
          </rPr>
          <t xml:space="preserve">
Conta Tribuos Municipais
</t>
        </r>
      </text>
    </comment>
    <comment ref="C35" authorId="1">
      <text>
        <r>
          <rPr>
            <b/>
            <sz val="9"/>
            <rFont val="Tahoma"/>
            <family val="2"/>
          </rPr>
          <t>contab02:</t>
        </r>
        <r>
          <rPr>
            <sz val="9"/>
            <rFont val="Tahoma"/>
            <family val="2"/>
          </rPr>
          <t xml:space="preserve">
:Gastos c/Pessoal-Pró-labore-cédula de presença-Contrib. p/ Prev. Social-Participação+ pessoal +(encargos-contrib p/ prev das unidades de custo)
</t>
        </r>
      </text>
    </comment>
    <comment ref="B36" authorId="1">
      <text>
        <r>
          <rPr>
            <b/>
            <sz val="9"/>
            <rFont val="Tahoma"/>
            <family val="2"/>
          </rPr>
          <t>contab02:</t>
        </r>
        <r>
          <rPr>
            <sz val="9"/>
            <rFont val="Tahoma"/>
            <family val="2"/>
          </rPr>
          <t xml:space="preserve">
Pró-labore+ Cedula de presença + gratificações centro de custos diretoria
</t>
        </r>
      </text>
    </comment>
  </commentList>
</comments>
</file>

<file path=xl/sharedStrings.xml><?xml version="1.0" encoding="utf-8"?>
<sst xmlns="http://schemas.openxmlformats.org/spreadsheetml/2006/main" count="530" uniqueCount="383">
  <si>
    <t xml:space="preserve">A T I V O </t>
  </si>
  <si>
    <t xml:space="preserve">               Caixa</t>
  </si>
  <si>
    <t xml:space="preserve">               Bancos Conta Movimento</t>
  </si>
  <si>
    <t xml:space="preserve">               Fornecedores</t>
  </si>
  <si>
    <t xml:space="preserve">               Aplicações de Liquidez Imediata</t>
  </si>
  <si>
    <t xml:space="preserve">               Associados Conta Produção</t>
  </si>
  <si>
    <t xml:space="preserve">               Impostos e Contribuições a Recolher</t>
  </si>
  <si>
    <t xml:space="preserve">               Contas a Pagar</t>
  </si>
  <si>
    <t xml:space="preserve">               Associados Conta Recoop</t>
  </si>
  <si>
    <t xml:space="preserve">               Adiantamento de Clientes</t>
  </si>
  <si>
    <t xml:space="preserve">               Capital a Restituir</t>
  </si>
  <si>
    <t xml:space="preserve">               Cheques em Cobrança</t>
  </si>
  <si>
    <t xml:space="preserve">               Financiamentos para Comercialização</t>
  </si>
  <si>
    <t xml:space="preserve">               Adiantamento a Fornecedores</t>
  </si>
  <si>
    <t xml:space="preserve">               Outros Créditos</t>
  </si>
  <si>
    <r>
      <t xml:space="preserve">               </t>
    </r>
    <r>
      <rPr>
        <sz val="11"/>
        <rFont val="Arial"/>
        <family val="2"/>
      </rPr>
      <t>Financiamentos para Ativo Fixo</t>
    </r>
  </si>
  <si>
    <t xml:space="preserve">               Financiamento p/ Repasse Recoop</t>
  </si>
  <si>
    <t xml:space="preserve">               Financiamentos para Ativo Fixo</t>
  </si>
  <si>
    <t xml:space="preserve">               Cobrança Judicial</t>
  </si>
  <si>
    <t xml:space="preserve">       CAPITAL SOCIAL </t>
  </si>
  <si>
    <t xml:space="preserve">       RESERVAS DE CAPITAL</t>
  </si>
  <si>
    <t xml:space="preserve">       RESERVAS ESTATUTÁRIAS</t>
  </si>
  <si>
    <t xml:space="preserve">               Prédios</t>
  </si>
  <si>
    <t xml:space="preserve">               Veículos</t>
  </si>
  <si>
    <t xml:space="preserve">               Máquinas e Equipamentos </t>
  </si>
  <si>
    <t xml:space="preserve">               Móveis e Utensílios</t>
  </si>
  <si>
    <t xml:space="preserve">               Sobras de Investimentos a Realizar</t>
  </si>
  <si>
    <t xml:space="preserve">               Terrenos</t>
  </si>
  <si>
    <t xml:space="preserve">               Equipamentos de Processamento de Dados</t>
  </si>
  <si>
    <t xml:space="preserve">               Imobilizações em Andamento</t>
  </si>
  <si>
    <t xml:space="preserve">               Instalações</t>
  </si>
  <si>
    <t xml:space="preserve">               (-) Depreciações Acumuladas</t>
  </si>
  <si>
    <t>TOTAL DO ATIVO</t>
  </si>
  <si>
    <t xml:space="preserve"> NÃO CIRCULANTE</t>
  </si>
  <si>
    <t xml:space="preserve">       REALIZÁVEL A LONGO PRAZO</t>
  </si>
  <si>
    <t xml:space="preserve"> CIRCULANTE</t>
  </si>
  <si>
    <t xml:space="preserve"> PATRIMÔNIO LIQUIDO</t>
  </si>
  <si>
    <t xml:space="preserve">               Em Sociedades Cooperativas</t>
  </si>
  <si>
    <t xml:space="preserve">               Produtos Agrícolas</t>
  </si>
  <si>
    <t xml:space="preserve">               Bens de Fornecimento </t>
  </si>
  <si>
    <t xml:space="preserve">               Produtos Industrializados</t>
  </si>
  <si>
    <t xml:space="preserve">               Almoxarifados</t>
  </si>
  <si>
    <t xml:space="preserve">               Ativos Biológicos</t>
  </si>
  <si>
    <t xml:space="preserve">       INTANGIVEL                                                                            </t>
  </si>
  <si>
    <t>TOTAL DO PASSIVO E PATRIMONIO LIQUIDO</t>
  </si>
  <si>
    <t>P A S S I V O  E PATRIMONIO LIQUIDO</t>
  </si>
  <si>
    <t xml:space="preserve">               Propriedades para Investimento</t>
  </si>
  <si>
    <t xml:space="preserve">               Outros Investimentos</t>
  </si>
  <si>
    <t>BALANÇO PATRIMONIAL</t>
  </si>
  <si>
    <t xml:space="preserve">               Outras Obrigações                   </t>
  </si>
  <si>
    <t xml:space="preserve">               Reflorestamentos</t>
  </si>
  <si>
    <t xml:space="preserve">               (-) Amortizações Acumuladas</t>
  </si>
  <si>
    <t>CONTAS</t>
  </si>
  <si>
    <t>%</t>
  </si>
  <si>
    <t>Var. %</t>
  </si>
  <si>
    <t xml:space="preserve">    Insumos Agropecuários</t>
  </si>
  <si>
    <t xml:space="preserve">    Supermercados</t>
  </si>
  <si>
    <t xml:space="preserve">    Complexo Avícola</t>
  </si>
  <si>
    <t xml:space="preserve">    Serviços Prestados</t>
  </si>
  <si>
    <t>IMPOSTOS INCIDENTES</t>
  </si>
  <si>
    <t xml:space="preserve">    ICMS</t>
  </si>
  <si>
    <t xml:space="preserve">    COFINS</t>
  </si>
  <si>
    <t xml:space="preserve">    PIS Faturamento</t>
  </si>
  <si>
    <t xml:space="preserve">     Produtos Agrícolas</t>
  </si>
  <si>
    <t xml:space="preserve">     Insumos Agropecuários</t>
  </si>
  <si>
    <t xml:space="preserve">     Supermercados</t>
  </si>
  <si>
    <t xml:space="preserve">     Fábrica de Rações</t>
  </si>
  <si>
    <t xml:space="preserve">     Complexo Avícola</t>
  </si>
  <si>
    <t>DISPÊNDIOS E DESP. OPERACIONAIS</t>
  </si>
  <si>
    <t>RESULTADO FINANCEIRO LÍQUIDO</t>
  </si>
  <si>
    <t xml:space="preserve">     Encargos Financeiros</t>
  </si>
  <si>
    <t xml:space="preserve">     Receitas Financeiras</t>
  </si>
  <si>
    <t xml:space="preserve">     Juros s/ Capital Social</t>
  </si>
  <si>
    <t>(=) RESULTADO ANTES DO IRPJ E CSLL</t>
  </si>
  <si>
    <t xml:space="preserve">      Provisão para Contribuição Social</t>
  </si>
  <si>
    <t xml:space="preserve">      Provisão para Imposto de Renda</t>
  </si>
  <si>
    <t>DEMONSTRAÇÃO DO RESULTADO ABRANGENTE</t>
  </si>
  <si>
    <t>SOBRAS A DISPOSIÇÃO DA AGO</t>
  </si>
  <si>
    <t>Ato Cooperativo</t>
  </si>
  <si>
    <t>Não Cooperativo</t>
  </si>
  <si>
    <t>TOTAL</t>
  </si>
  <si>
    <t xml:space="preserve">(=) SOBRA E LUCRO LÍQUIDO </t>
  </si>
  <si>
    <t xml:space="preserve">     Devolução de Capital aos Associados</t>
  </si>
  <si>
    <t xml:space="preserve">     Pagto. Quotas Partes (Art. 15 E. Soc.)</t>
  </si>
  <si>
    <t xml:space="preserve">     Integralização e Retenção</t>
  </si>
  <si>
    <t xml:space="preserve">     Transf. Capital p/ Fundo de Reserva</t>
  </si>
  <si>
    <t>Resultado e Destinações</t>
  </si>
  <si>
    <t xml:space="preserve">     Resultado do Exercício</t>
  </si>
  <si>
    <t xml:space="preserve">     Reserva Legal (50%)    </t>
  </si>
  <si>
    <t>Fluxo de Caixa das Atividades Operacionais</t>
  </si>
  <si>
    <t>Resultado Líquido do Exercício</t>
  </si>
  <si>
    <t>Ajustes ao Resultado Líquido</t>
  </si>
  <si>
    <t xml:space="preserve">    Reversão de Provisões</t>
  </si>
  <si>
    <t>Resultado Líquido Ajustado</t>
  </si>
  <si>
    <t>Ajustes Variações das Contas de Ativo e Passivo Operacional</t>
  </si>
  <si>
    <t xml:space="preserve">    Outras Variações</t>
  </si>
  <si>
    <t>Caixa Líquido Proveniente das Atividades Operacionais</t>
  </si>
  <si>
    <t>Fluxos de Caixa das Atividades de Investimento</t>
  </si>
  <si>
    <t xml:space="preserve">    Recebimento da Venda do Imobilizado</t>
  </si>
  <si>
    <t xml:space="preserve">    Pagamento pela Compra de Imobilizado e Intangível</t>
  </si>
  <si>
    <t xml:space="preserve">    Aquisição de Investimentos</t>
  </si>
  <si>
    <t>Caixa Líquido nas Atividades de Investimentos</t>
  </si>
  <si>
    <t>Fluxos de Caixa das Atividades de Financiamento</t>
  </si>
  <si>
    <t xml:space="preserve">    Empréstimo Obtido</t>
  </si>
  <si>
    <t xml:space="preserve">    Amortização de Empréstimos</t>
  </si>
  <si>
    <t xml:space="preserve">    Aumento de Reservas</t>
  </si>
  <si>
    <t xml:space="preserve">    Aumento de Capital pelos Sócios</t>
  </si>
  <si>
    <t xml:space="preserve">    Devolução de Capital aos Sócios</t>
  </si>
  <si>
    <t xml:space="preserve">    Distribuição de Sobras</t>
  </si>
  <si>
    <t>Caixa Líquido Usado nas Atividades de Financiamentos</t>
  </si>
  <si>
    <t>Aumento Líquido ao Caixa e Equivalente de Caixa</t>
  </si>
  <si>
    <t>Variação das Contas Caixa/Bancos/Equivalentes</t>
  </si>
  <si>
    <t>NE</t>
  </si>
  <si>
    <t xml:space="preserve">               Bens Incorpóreos                                                             </t>
  </si>
  <si>
    <t xml:space="preserve">       IMOBILIZADO                                                                          </t>
  </si>
  <si>
    <t xml:space="preserve">               Associados Conta Base de Troca                                    </t>
  </si>
  <si>
    <t xml:space="preserve">               Associados Conta Adiantamento de Safras                     </t>
  </si>
  <si>
    <t xml:space="preserve">               Clientes                                                                             </t>
  </si>
  <si>
    <r>
      <t xml:space="preserve">       ESTOQUES                                                              </t>
    </r>
    <r>
      <rPr>
        <sz val="11"/>
        <rFont val="Arial"/>
        <family val="2"/>
      </rPr>
      <t xml:space="preserve">  </t>
    </r>
  </si>
  <si>
    <t xml:space="preserve">       DESPESAS ANTECIPADAS                                                </t>
  </si>
  <si>
    <t xml:space="preserve">               Associados Conta Base de Troca                                   </t>
  </si>
  <si>
    <t xml:space="preserve">               Depósitos Judiciais                                                          </t>
  </si>
  <si>
    <t xml:space="preserve">               Impostos a Recuperar                                                     </t>
  </si>
  <si>
    <t xml:space="preserve">       INVESTIMENTOS                                                                  </t>
  </si>
  <si>
    <t xml:space="preserve">               Vendas para Entrega Futura                                </t>
  </si>
  <si>
    <t xml:space="preserve">               Juros s/ capital integralizado                                </t>
  </si>
  <si>
    <t xml:space="preserve">               Provisões p/ Riscos e Contingências                   </t>
  </si>
  <si>
    <t xml:space="preserve">       RESERVA DE SOBRAS A REALIZAR                         </t>
  </si>
  <si>
    <t xml:space="preserve">               Capital Social Integralizado                                   </t>
  </si>
  <si>
    <t xml:space="preserve">               Reserva de Investimentos e Desenvolvimento     </t>
  </si>
  <si>
    <t xml:space="preserve">               Reserva de Incentivo as Exportações                   </t>
  </si>
  <si>
    <t>(+/-) DEMAIS RESULTADOS ABRANGENTES</t>
  </si>
  <si>
    <t xml:space="preserve">     Formação Reserva Incentivos Fiscais</t>
  </si>
  <si>
    <t>(=) RESULTADO ABRANGENTE</t>
  </si>
  <si>
    <t xml:space="preserve">     Demais Resultados Abrangentes</t>
  </si>
  <si>
    <t>DFC</t>
  </si>
  <si>
    <t>O</t>
  </si>
  <si>
    <t>I</t>
  </si>
  <si>
    <t xml:space="preserve">Variação </t>
  </si>
  <si>
    <t>Ajustada</t>
  </si>
  <si>
    <t>F</t>
  </si>
  <si>
    <t>DEMONSTRAÇÃO DO VALOR ADICIONADO</t>
  </si>
  <si>
    <t>1. INGRESSOS/RECEITAS</t>
  </si>
  <si>
    <t xml:space="preserve">     Receita de Serviços</t>
  </si>
  <si>
    <t xml:space="preserve"> </t>
  </si>
  <si>
    <t>2. INSUMOS ADQUIRIDOS</t>
  </si>
  <si>
    <t xml:space="preserve">     Insumos Adquiridos</t>
  </si>
  <si>
    <t xml:space="preserve">     Outros Custos de Produtos e Mercadorias</t>
  </si>
  <si>
    <t xml:space="preserve">     Energia, Serv. Terc. e Demais Dispêndios</t>
  </si>
  <si>
    <t>3. VALOR ADICIONADO BRUTO (1-2)</t>
  </si>
  <si>
    <t xml:space="preserve">    </t>
  </si>
  <si>
    <t>4. RETENÇÕES</t>
  </si>
  <si>
    <t xml:space="preserve">     Depreciação, Amortiz. Exaustão</t>
  </si>
  <si>
    <t>5. VALOR ADICIONADO LÍQUIDO</t>
  </si>
  <si>
    <t>6. VALOR ADIC. REC. EM TRANSFERÊNCIA</t>
  </si>
  <si>
    <t>7. VALOR ADICIONADO A DISTRIBUIR</t>
  </si>
  <si>
    <t>8. DISTRIBUIÇÃO DO VALOR ADICIONADO</t>
  </si>
  <si>
    <t>8.1. EMPREGADOS</t>
  </si>
  <si>
    <t xml:space="preserve">     Salários e Encargos, exceto INSS</t>
  </si>
  <si>
    <t xml:space="preserve">     Remuneração Diretores e Conselheiros</t>
  </si>
  <si>
    <t xml:space="preserve">     Partic. Empregados no Resultado</t>
  </si>
  <si>
    <t>8.2. TRIBUTOS</t>
  </si>
  <si>
    <t xml:space="preserve">     Federais</t>
  </si>
  <si>
    <t xml:space="preserve">     Estaduais</t>
  </si>
  <si>
    <t xml:space="preserve">     Municipais</t>
  </si>
  <si>
    <t>8.3. FINANCIADORES</t>
  </si>
  <si>
    <t xml:space="preserve">     Aluguéis</t>
  </si>
  <si>
    <t>8.4. JUROS SOBRE CAPITAL PRÓPRIO</t>
  </si>
  <si>
    <t>8.6. REVERSÃO RESERVAS</t>
  </si>
  <si>
    <t>8.7. RESULTADO LÍQUIDO AJUSTADO</t>
  </si>
  <si>
    <t>DEMONSTRAÇÃO DOS FLUXOS DE CAIXA</t>
  </si>
  <si>
    <t>Método Indireto</t>
  </si>
  <si>
    <t xml:space="preserve">     Revenda de Mercadorias</t>
  </si>
  <si>
    <t xml:space="preserve">     Venda de Produtos Agrícolas</t>
  </si>
  <si>
    <t xml:space="preserve">     Vendas de Produção Própria</t>
  </si>
  <si>
    <t xml:space="preserve">               Obrigações com Empregados</t>
  </si>
  <si>
    <t xml:space="preserve">       CAIXA E EQUIVALENTES DE CAIXA</t>
  </si>
  <si>
    <t xml:space="preserve">       CREDITOS</t>
  </si>
  <si>
    <t xml:space="preserve">       OBRIGAÇÕES</t>
  </si>
  <si>
    <t xml:space="preserve">       FINANCIAMENTOS                     </t>
  </si>
  <si>
    <t xml:space="preserve">       FINANCIAMENTOS                    </t>
  </si>
  <si>
    <t xml:space="preserve">       OUTRAS OBRIGAÇÕES</t>
  </si>
  <si>
    <t>Componentes</t>
  </si>
  <si>
    <t>Reservas e Fundos Estatutários</t>
  </si>
  <si>
    <t>De Capital</t>
  </si>
  <si>
    <t>Estatutárias</t>
  </si>
  <si>
    <t>Sobras a Real.</t>
  </si>
  <si>
    <t>Total</t>
  </si>
  <si>
    <t xml:space="preserve">DEMONSTRAÇÃO DAS MUTAÇÕES DO PATRIMÔNIO LÍQUIDO </t>
  </si>
  <si>
    <t>Ajustes</t>
  </si>
  <si>
    <t xml:space="preserve">     Ajuste  Prov. IR e CSLL s/ Reserva de Reavaliação</t>
  </si>
  <si>
    <t xml:space="preserve">     Reserva de Manutenção do Capital de Giro Próprio</t>
  </si>
  <si>
    <t xml:space="preserve">               Provisão Tributos s/ Reserva de Reavaliação</t>
  </si>
  <si>
    <t xml:space="preserve">               Reserva de Manutenção do Capital de Giro Próprio      </t>
  </si>
  <si>
    <t xml:space="preserve">       RESERVA DE REAVALIAÇÃO PATRIMONIAL</t>
  </si>
  <si>
    <t xml:space="preserve">               Reserva de Reavaliação                       </t>
  </si>
  <si>
    <t xml:space="preserve">     Realização Reserva de Reavaliação</t>
  </si>
  <si>
    <t xml:space="preserve">               Financiamentos para Capital de Giro</t>
  </si>
  <si>
    <t>SOBRAS À DISPOSIÇÃO DA AGO</t>
  </si>
  <si>
    <t xml:space="preserve">               Financiamentos p/ Quotas Partes</t>
  </si>
  <si>
    <t xml:space="preserve">    INSS Faturamento</t>
  </si>
  <si>
    <t xml:space="preserve">               (-) Antecipação de Sobras</t>
  </si>
  <si>
    <t xml:space="preserve">     Reserva de Incentivo as Exportações</t>
  </si>
  <si>
    <t xml:space="preserve">     Capital Integ. p/ Financiamento</t>
  </si>
  <si>
    <t xml:space="preserve">               Repasse Financ. Cooperados</t>
  </si>
  <si>
    <t xml:space="preserve">     Antecipação de Sobras</t>
  </si>
  <si>
    <t xml:space="preserve">               Sobras a Realizar s/ Créditos Tributários</t>
  </si>
  <si>
    <t xml:space="preserve">               RATES                                                                    </t>
  </si>
  <si>
    <t xml:space="preserve">     RATES Estatutário 10%</t>
  </si>
  <si>
    <t xml:space="preserve">     RATES (10%)</t>
  </si>
  <si>
    <t xml:space="preserve">     RATES Operações c/ Terceiros</t>
  </si>
  <si>
    <t xml:space="preserve">               Obrigações com Cooperados                 </t>
  </si>
  <si>
    <t xml:space="preserve">               Provisão IR/CSLL Diferidos</t>
  </si>
  <si>
    <t xml:space="preserve">    Créditos com Cooperados</t>
  </si>
  <si>
    <t xml:space="preserve">    Cheques a Receber</t>
  </si>
  <si>
    <t xml:space="preserve">    Adiantamento a Fornecedores</t>
  </si>
  <si>
    <t xml:space="preserve">    Créditos com Clientes</t>
  </si>
  <si>
    <t xml:space="preserve">    Estoques</t>
  </si>
  <si>
    <t xml:space="preserve">    Despesas Antecipadas</t>
  </si>
  <si>
    <t xml:space="preserve">    Ativo Realizável a Longo Prazo</t>
  </si>
  <si>
    <t xml:space="preserve">    Aplicações a Prazo Fixo</t>
  </si>
  <si>
    <t xml:space="preserve">    Outros Créditos</t>
  </si>
  <si>
    <t xml:space="preserve">    Impostos a Recuperar</t>
  </si>
  <si>
    <t xml:space="preserve">    Obrigações com Cooperados</t>
  </si>
  <si>
    <t xml:space="preserve">    Fornecedores</t>
  </si>
  <si>
    <t xml:space="preserve">    Vendas para Entrega Futura</t>
  </si>
  <si>
    <t xml:space="preserve">    Impostos e Contribuições a Recolher</t>
  </si>
  <si>
    <t xml:space="preserve">    Contas a Pagar</t>
  </si>
  <si>
    <t xml:space="preserve">    Adiantamento de Clientes </t>
  </si>
  <si>
    <t xml:space="preserve">    Capital a Restituir</t>
  </si>
  <si>
    <t xml:space="preserve">    Dívidas de Longo Prazo</t>
  </si>
  <si>
    <t xml:space="preserve">               Financiamento p/ Quotas Partes</t>
  </si>
  <si>
    <t xml:space="preserve">    Obrigações com Empregados</t>
  </si>
  <si>
    <t>SALDO EM 31 DE DEZEMBRO DE 2015</t>
  </si>
  <si>
    <t>Sobras Acumuladas</t>
  </si>
  <si>
    <t>Reserva de Reavali. Patrimonial</t>
  </si>
  <si>
    <t>Capital Social</t>
  </si>
  <si>
    <t xml:space="preserve">               Matéria Prima</t>
  </si>
  <si>
    <t xml:space="preserve">      Provisão/Realização IR/CSLL Diferidos</t>
  </si>
  <si>
    <t xml:space="preserve">    Fábrica de Rações</t>
  </si>
  <si>
    <t>Deliberações da AGO de 12.02.2016</t>
  </si>
  <si>
    <t xml:space="preserve">    Depreciação/Amortização</t>
  </si>
  <si>
    <t>Eventos realizados no Exercício 2016</t>
  </si>
  <si>
    <t>SALDO EM 31 DE DEZEMBRO DE 2016</t>
  </si>
  <si>
    <t xml:space="preserve">               Produtos em Depósito a liquidar</t>
  </si>
  <si>
    <t xml:space="preserve">               Reservas de Doações e Subvenções</t>
  </si>
  <si>
    <t xml:space="preserve">       SOBRAS A DISPOSIÇÃO DA AGO</t>
  </si>
  <si>
    <t xml:space="preserve">               Sobras do Exercício</t>
  </si>
  <si>
    <t>RESULTADO BRUTO</t>
  </si>
  <si>
    <t>DISPÊNDIOS E DESPESAS OPERACIONAIS</t>
  </si>
  <si>
    <t xml:space="preserve">     Com Pessoal</t>
  </si>
  <si>
    <t xml:space="preserve">     Gerais e Administrativas</t>
  </si>
  <si>
    <t xml:space="preserve">     Comerciais</t>
  </si>
  <si>
    <t xml:space="preserve">     Tributárias</t>
  </si>
  <si>
    <t xml:space="preserve">     Rendimentos Aplicações Financeiras</t>
  </si>
  <si>
    <t>(=) BASE PARA DESTINAÇÕES</t>
  </si>
  <si>
    <t>(+) DEMAIS RESULTADOS ABRANGENTES</t>
  </si>
  <si>
    <t xml:space="preserve">     Rendimento Aplicações Financeiras</t>
  </si>
  <si>
    <t xml:space="preserve">     Reserva Incentivos Fiscais</t>
  </si>
  <si>
    <t>Imobilizado/int</t>
  </si>
  <si>
    <t>Investimentos</t>
  </si>
  <si>
    <t>ajuste</t>
  </si>
  <si>
    <t>Empréstimos</t>
  </si>
  <si>
    <t>ajuste contra AC</t>
  </si>
  <si>
    <t>DEMONSTRAÇÃO DAS DESTINAÇÕES LEGAIS E ESTATUTÁRIAS</t>
  </si>
  <si>
    <t xml:space="preserve">               Impostos e Contribuições a Recolher  </t>
  </si>
  <si>
    <t xml:space="preserve">     Reversão RATES para Cobertura de Gastos</t>
  </si>
  <si>
    <t xml:space="preserve">     Reserva de Investimentos e Desenvolvimento</t>
  </si>
  <si>
    <t xml:space="preserve">    Juros Transcorridos e não Pagos</t>
  </si>
  <si>
    <t xml:space="preserve">    Resultado Alienação Bens do Imobilizado</t>
  </si>
  <si>
    <t xml:space="preserve">    Provisão Contingências</t>
  </si>
  <si>
    <t>Caixa e Equivalente de Caixa no Início do Período</t>
  </si>
  <si>
    <t>Caixa e Equivalente de Caixa no Fim do Período</t>
  </si>
  <si>
    <t xml:space="preserve">     Custo Financeiro Aplicações</t>
  </si>
  <si>
    <t xml:space="preserve">     Outros Ingressos e Receitas </t>
  </si>
  <si>
    <t xml:space="preserve">     RATES - Result. Oper. c/ Terceiros</t>
  </si>
  <si>
    <t xml:space="preserve">     Sobras a Realizar s/ Créditos Tributários </t>
  </si>
  <si>
    <t xml:space="preserve">     Juros s/ Capital Incorporado</t>
  </si>
  <si>
    <t xml:space="preserve">     Sobras Distribuídas</t>
  </si>
  <si>
    <t xml:space="preserve">     Sobras Incorporadas ao Capital</t>
  </si>
  <si>
    <t xml:space="preserve">    Produtos Agrícolas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</si>
  <si>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</si>
  <si>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</si>
  <si>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</si>
  <si>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</si>
  <si>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</si>
  <si>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</si>
  <si>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</si>
  <si>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</si>
  <si>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</si>
  <si>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</si>
  <si>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</si>
  <si>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</si>
  <si>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</si>
  <si>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</si>
  <si>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</si>
  <si>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</si>
  <si>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</si>
  <si>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6.2</t>
  </si>
  <si>
    <t>6.1-A</t>
  </si>
  <si>
    <t>6.1-B</t>
  </si>
  <si>
    <t>6.1-C</t>
  </si>
  <si>
    <t>6.1-D</t>
  </si>
  <si>
    <t>6.1-E</t>
  </si>
  <si>
    <t>6.1-F</t>
  </si>
  <si>
    <t>6.1-G</t>
  </si>
  <si>
    <t>6.7</t>
  </si>
  <si>
    <t>4.4</t>
  </si>
  <si>
    <t>DEMONSTRAÇÕES CONTÁBEIS LEVANTADAS  EM 31 DE DEZEMBRO DE 2017</t>
  </si>
  <si>
    <t>DEMONSTRAÇÕES CONTÁBEIS LEVANTADAS EM 31 DE DEZEMBRO DE 2017</t>
  </si>
  <si>
    <t xml:space="preserve">    ISSQN</t>
  </si>
  <si>
    <t xml:space="preserve">    PIS </t>
  </si>
  <si>
    <t xml:space="preserve">    INSS</t>
  </si>
  <si>
    <t>Deliberações da AGO de 26.01.2017</t>
  </si>
  <si>
    <t>Eventos realizados no Exercício 2017</t>
  </si>
  <si>
    <t>variação contra PL</t>
  </si>
  <si>
    <t xml:space="preserve">     Serviços Prestados </t>
  </si>
  <si>
    <t>OUTROS INGRESSOS E REC. OPERACIONAIS</t>
  </si>
  <si>
    <t>(=) RESULTADO ANTES  ENC. FIN. LIQUIDOS</t>
  </si>
  <si>
    <t>INGRESSOS/RECEITA BRUTA</t>
  </si>
  <si>
    <t>INGRESSOS/RECEITA LÍQUIDA</t>
  </si>
  <si>
    <t>DISPÊNDIOS/CUSTO PROD/MERC.</t>
  </si>
  <si>
    <t xml:space="preserve">     Reserva Sobras a Realizar s/ Créditos Tributários</t>
  </si>
  <si>
    <t xml:space="preserve">     Reserva Sobras de Investimentos a Realizar</t>
  </si>
  <si>
    <t>SALDO EM 31 DE DEZEMBRO DE 2017</t>
  </si>
  <si>
    <t>Reclassificação terrenos propriedade para investimento</t>
  </si>
  <si>
    <t xml:space="preserve">               (-) Estimativa de perdas s/Créd Liquidação Duvidosa          </t>
  </si>
  <si>
    <t>DEMONSTRAÇÃO DAS SOBRAS OU PERDAS DO EXERCÍCIO</t>
  </si>
  <si>
    <t>DEMONSTRAÇÃO DE SOBRAS OU PERDAS DO EXERCÍCIO E RESULTADO TRIBUTÁVEL</t>
  </si>
  <si>
    <t>4.15</t>
  </si>
  <si>
    <t>4.9</t>
  </si>
  <si>
    <t>5.19</t>
  </si>
  <si>
    <t>5.18</t>
  </si>
  <si>
    <t>5.20</t>
  </si>
  <si>
    <t>excluir</t>
  </si>
  <si>
    <t>8.5. RESULTADO LÍQUIDO DO EXERCÍCIO</t>
  </si>
  <si>
    <t>(=) RESULTADO LÍQUIDO DO EXERCÍCIO</t>
  </si>
  <si>
    <t>RESULTADO LÍQUIDO DO EXERCÍCIO</t>
  </si>
  <si>
    <t xml:space="preserve">     Reversão RATES para Cobertura de Gastos - NE 4.22</t>
  </si>
  <si>
    <t xml:space="preserve">     Demais Resultados Abrangentes - NE 6.1c</t>
  </si>
  <si>
    <t xml:space="preserve">     Reserva Incentivos Fiscais - NE 6.7</t>
  </si>
  <si>
    <t xml:space="preserve">     RATES - Result. Oper. c/ Terceiros - NE 6.1b</t>
  </si>
  <si>
    <t xml:space="preserve">     RATES (10%) - NE 6.1b</t>
  </si>
  <si>
    <t xml:space="preserve">     Reserva de Invest.e Desenvolvimento - NE 6.1e</t>
  </si>
  <si>
    <t xml:space="preserve">     Sobras de Investimentos a Realizar - NE 6.1d</t>
  </si>
  <si>
    <t xml:space="preserve">     Sobras a Realizar s/ Créditos Tributários - NE 6.1d</t>
  </si>
  <si>
    <t xml:space="preserve">     Reserva de Incentivo as Exportações - NE 6.1.f</t>
  </si>
  <si>
    <t xml:space="preserve">     Reserva de Manut. Capital de Giro Próprio NE 6.1g</t>
  </si>
  <si>
    <t xml:space="preserve">     Prov. IR e CSLL s/ Reserva de Reavaliação NE 6.1c</t>
  </si>
  <si>
    <t>4.22</t>
  </si>
  <si>
    <t xml:space="preserve">     Pagto. Quotas Partes (Art. 16 E. Soc.)</t>
  </si>
  <si>
    <t>INDICADORES DE ANÁLISE ECONÔMICA E FINANCEIRA - CASO REAL</t>
  </si>
  <si>
    <t>INDICADORES FINANCEIROS:</t>
  </si>
  <si>
    <t>Liquidez corrente</t>
  </si>
  <si>
    <t>Liquidez Geral</t>
  </si>
  <si>
    <t>Imobilização capitais próprios</t>
  </si>
  <si>
    <t>Endividamento geral</t>
  </si>
  <si>
    <t>Garantia capitais de terceiros</t>
  </si>
  <si>
    <t>Solvência Geral</t>
  </si>
  <si>
    <t>INDICADORES ECONÔMICOS:</t>
  </si>
  <si>
    <t>Margem Bruta</t>
  </si>
  <si>
    <t>Despesas Operacionais s/Receita Líquida</t>
  </si>
  <si>
    <t>Resultado Antes do Financeiro</t>
  </si>
  <si>
    <t>Resultado Financeiro sobre Receita Líquida</t>
  </si>
  <si>
    <t>Lucratividade Líquida</t>
  </si>
  <si>
    <t>Percentual de operações com terceiros</t>
  </si>
  <si>
    <t>COOPERATIVA AGROINDUSTRIAL</t>
  </si>
  <si>
    <t>CNPJ  00.000.000/0001-00</t>
  </si>
  <si>
    <t>Saldo Inicial</t>
  </si>
  <si>
    <t>Aquisições</t>
  </si>
  <si>
    <t>Depreciação/Amortização</t>
  </si>
  <si>
    <t>Baixas</t>
  </si>
  <si>
    <t>Saldo</t>
  </si>
  <si>
    <t>Saldo Final</t>
  </si>
  <si>
    <t>Soma</t>
  </si>
  <si>
    <t>Empréstimos Obtidos</t>
  </si>
  <si>
    <t>Amortização de Empréstimos</t>
  </si>
  <si>
    <t>Encargos não pagos</t>
  </si>
  <si>
    <t>variação cotas</t>
  </si>
  <si>
    <t xml:space="preserve">               Reserva Legal</t>
  </si>
  <si>
    <t xml:space="preserve">     Reserva Legal 50%</t>
  </si>
  <si>
    <r>
      <t xml:space="preserve">     Reserva Legal (50%) - </t>
    </r>
    <r>
      <rPr>
        <b/>
        <sz val="12"/>
        <rFont val="Arial"/>
        <family val="2"/>
      </rPr>
      <t>NE 6.1a</t>
    </r>
  </si>
  <si>
    <t xml:space="preserve">    Estimativa de perdas s/Créd Liquidação Duvidosa         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</si>
</sst>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_);_(@_)"/>
    <numFmt numFmtId="174" formatCode="_(* #,##0.00_);_(* \(#,##0.00\);_(* &quot;-&quot;_);_(@_)"/>
    <numFmt numFmtId="175" formatCode="#,##0.00_ ;\-#,##0.00\ "/>
    <numFmt numFmtId="176" formatCode="0.0%"/>
    <numFmt numFmtId="177" formatCode="_(* #,##0.000_);_(* \(#,##0.000\);_(* &quot;-&quot;??_);_(@_)"/>
    <numFmt numFmtId="178" formatCode="_(* #,##0.0_);_(* \(#,##0.0\);_(* &quot;-&quot;??_);_(@_)"/>
    <numFmt numFmtId="179" formatCode="_(* #,##0.00_);_(* \(#,##0.00\);_(* \-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00"/>
    <numFmt numFmtId="185" formatCode="0.0000"/>
    <numFmt numFmtId="186" formatCode="0.0"/>
    <numFmt numFmtId="187" formatCode="_(* #,##0_);_(* \(#,##0\);_(* &quot;-&quot;??_);_(@_)"/>
    <numFmt numFmtId="188" formatCode="#,##0.000;\-#,##0.000"/>
    <numFmt numFmtId="189" formatCode="#,##0.0000;\-#,##0.0000"/>
    <numFmt numFmtId="190" formatCode="#,##0.00000;\-#,##0.00000"/>
    <numFmt numFmtId="191" formatCode="0.00000"/>
    <numFmt numFmtId="192" formatCode="[$-416]dddd\,\ d&quot; de &quot;mmmm&quot; de &quot;yyyy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</numFmts>
  <fonts count="65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6" fillId="3" borderId="0" applyNumberFormat="0" applyBorder="0" applyAlignment="0" applyProtection="0"/>
    <xf numFmtId="0" fontId="45" fillId="4" borderId="0" applyNumberFormat="0" applyBorder="0" applyAlignment="0" applyProtection="0"/>
    <xf numFmtId="0" fontId="16" fillId="5" borderId="0" applyNumberFormat="0" applyBorder="0" applyAlignment="0" applyProtection="0"/>
    <xf numFmtId="0" fontId="45" fillId="6" borderId="0" applyNumberFormat="0" applyBorder="0" applyAlignment="0" applyProtection="0"/>
    <xf numFmtId="0" fontId="16" fillId="7" borderId="0" applyNumberFormat="0" applyBorder="0" applyAlignment="0" applyProtection="0"/>
    <xf numFmtId="0" fontId="45" fillId="8" borderId="0" applyNumberFormat="0" applyBorder="0" applyAlignment="0" applyProtection="0"/>
    <xf numFmtId="0" fontId="16" fillId="9" borderId="0" applyNumberFormat="0" applyBorder="0" applyAlignment="0" applyProtection="0"/>
    <xf numFmtId="0" fontId="45" fillId="10" borderId="0" applyNumberFormat="0" applyBorder="0" applyAlignment="0" applyProtection="0"/>
    <xf numFmtId="0" fontId="16" fillId="11" borderId="0" applyNumberFormat="0" applyBorder="0" applyAlignment="0" applyProtection="0"/>
    <xf numFmtId="0" fontId="45" fillId="12" borderId="0" applyNumberFormat="0" applyBorder="0" applyAlignment="0" applyProtection="0"/>
    <xf numFmtId="0" fontId="16" fillId="7" borderId="0" applyNumberFormat="0" applyBorder="0" applyAlignment="0" applyProtection="0"/>
    <xf numFmtId="0" fontId="45" fillId="13" borderId="0" applyNumberFormat="0" applyBorder="0" applyAlignment="0" applyProtection="0"/>
    <xf numFmtId="0" fontId="16" fillId="11" borderId="0" applyNumberFormat="0" applyBorder="0" applyAlignment="0" applyProtection="0"/>
    <xf numFmtId="0" fontId="45" fillId="14" borderId="0" applyNumberFormat="0" applyBorder="0" applyAlignment="0" applyProtection="0"/>
    <xf numFmtId="0" fontId="16" fillId="5" borderId="0" applyNumberFormat="0" applyBorder="0" applyAlignment="0" applyProtection="0"/>
    <xf numFmtId="0" fontId="45" fillId="15" borderId="0" applyNumberFormat="0" applyBorder="0" applyAlignment="0" applyProtection="0"/>
    <xf numFmtId="0" fontId="16" fillId="16" borderId="0" applyNumberFormat="0" applyBorder="0" applyAlignment="0" applyProtection="0"/>
    <xf numFmtId="0" fontId="45" fillId="17" borderId="0" applyNumberFormat="0" applyBorder="0" applyAlignment="0" applyProtection="0"/>
    <xf numFmtId="0" fontId="16" fillId="18" borderId="0" applyNumberFormat="0" applyBorder="0" applyAlignment="0" applyProtection="0"/>
    <xf numFmtId="0" fontId="45" fillId="19" borderId="0" applyNumberFormat="0" applyBorder="0" applyAlignment="0" applyProtection="0"/>
    <xf numFmtId="0" fontId="16" fillId="11" borderId="0" applyNumberFormat="0" applyBorder="0" applyAlignment="0" applyProtection="0"/>
    <xf numFmtId="0" fontId="45" fillId="20" borderId="0" applyNumberFormat="0" applyBorder="0" applyAlignment="0" applyProtection="0"/>
    <xf numFmtId="0" fontId="16" fillId="7" borderId="0" applyNumberFormat="0" applyBorder="0" applyAlignment="0" applyProtection="0"/>
    <xf numFmtId="0" fontId="46" fillId="21" borderId="0" applyNumberFormat="0" applyBorder="0" applyAlignment="0" applyProtection="0"/>
    <xf numFmtId="0" fontId="17" fillId="11" borderId="0" applyNumberFormat="0" applyBorder="0" applyAlignment="0" applyProtection="0"/>
    <xf numFmtId="0" fontId="46" fillId="22" borderId="0" applyNumberFormat="0" applyBorder="0" applyAlignment="0" applyProtection="0"/>
    <xf numFmtId="0" fontId="17" fillId="23" borderId="0" applyNumberFormat="0" applyBorder="0" applyAlignment="0" applyProtection="0"/>
    <xf numFmtId="0" fontId="46" fillId="15" borderId="0" applyNumberFormat="0" applyBorder="0" applyAlignment="0" applyProtection="0"/>
    <xf numFmtId="0" fontId="17" fillId="24" borderId="0" applyNumberFormat="0" applyBorder="0" applyAlignment="0" applyProtection="0"/>
    <xf numFmtId="0" fontId="46" fillId="25" borderId="0" applyNumberFormat="0" applyBorder="0" applyAlignment="0" applyProtection="0"/>
    <xf numFmtId="0" fontId="17" fillId="18" borderId="0" applyNumberFormat="0" applyBorder="0" applyAlignment="0" applyProtection="0"/>
    <xf numFmtId="0" fontId="46" fillId="26" borderId="0" applyNumberFormat="0" applyBorder="0" applyAlignment="0" applyProtection="0"/>
    <xf numFmtId="0" fontId="17" fillId="11" borderId="0" applyNumberFormat="0" applyBorder="0" applyAlignment="0" applyProtection="0"/>
    <xf numFmtId="0" fontId="46" fillId="27" borderId="0" applyNumberFormat="0" applyBorder="0" applyAlignment="0" applyProtection="0"/>
    <xf numFmtId="0" fontId="17" fillId="5" borderId="0" applyNumberFormat="0" applyBorder="0" applyAlignment="0" applyProtection="0"/>
    <xf numFmtId="0" fontId="47" fillId="28" borderId="0" applyNumberFormat="0" applyBorder="0" applyAlignment="0" applyProtection="0"/>
    <xf numFmtId="0" fontId="18" fillId="11" borderId="0" applyNumberFormat="0" applyBorder="0" applyAlignment="0" applyProtection="0"/>
    <xf numFmtId="0" fontId="48" fillId="29" borderId="1" applyNumberFormat="0" applyAlignment="0" applyProtection="0"/>
    <xf numFmtId="0" fontId="28" fillId="30" borderId="2" applyNumberFormat="0" applyAlignment="0" applyProtection="0"/>
    <xf numFmtId="0" fontId="49" fillId="31" borderId="3" applyNumberFormat="0" applyAlignment="0" applyProtection="0"/>
    <xf numFmtId="0" fontId="19" fillId="32" borderId="4" applyNumberFormat="0" applyAlignment="0" applyProtection="0"/>
    <xf numFmtId="0" fontId="50" fillId="0" borderId="5" applyNumberFormat="0" applyFill="0" applyAlignment="0" applyProtection="0"/>
    <xf numFmtId="0" fontId="23" fillId="0" borderId="6" applyNumberFormat="0" applyFill="0" applyAlignment="0" applyProtection="0"/>
    <xf numFmtId="0" fontId="46" fillId="33" borderId="0" applyNumberFormat="0" applyBorder="0" applyAlignment="0" applyProtection="0"/>
    <xf numFmtId="0" fontId="17" fillId="34" borderId="0" applyNumberFormat="0" applyBorder="0" applyAlignment="0" applyProtection="0"/>
    <xf numFmtId="0" fontId="46" fillId="35" borderId="0" applyNumberFormat="0" applyBorder="0" applyAlignment="0" applyProtection="0"/>
    <xf numFmtId="0" fontId="17" fillId="23" borderId="0" applyNumberFormat="0" applyBorder="0" applyAlignment="0" applyProtection="0"/>
    <xf numFmtId="0" fontId="46" fillId="36" borderId="0" applyNumberFormat="0" applyBorder="0" applyAlignment="0" applyProtection="0"/>
    <xf numFmtId="0" fontId="17" fillId="24" borderId="0" applyNumberFormat="0" applyBorder="0" applyAlignment="0" applyProtection="0"/>
    <xf numFmtId="0" fontId="46" fillId="37" borderId="0" applyNumberFormat="0" applyBorder="0" applyAlignment="0" applyProtection="0"/>
    <xf numFmtId="0" fontId="17" fillId="38" borderId="0" applyNumberFormat="0" applyBorder="0" applyAlignment="0" applyProtection="0"/>
    <xf numFmtId="0" fontId="46" fillId="39" borderId="0" applyNumberFormat="0" applyBorder="0" applyAlignment="0" applyProtection="0"/>
    <xf numFmtId="0" fontId="17" fillId="40" borderId="0" applyNumberFormat="0" applyBorder="0" applyAlignment="0" applyProtection="0"/>
    <xf numFmtId="0" fontId="46" fillId="41" borderId="0" applyNumberFormat="0" applyBorder="0" applyAlignment="0" applyProtection="0"/>
    <xf numFmtId="0" fontId="17" fillId="42" borderId="0" applyNumberFormat="0" applyBorder="0" applyAlignment="0" applyProtection="0"/>
    <xf numFmtId="0" fontId="51" fillId="43" borderId="1" applyNumberFormat="0" applyAlignment="0" applyProtection="0"/>
    <xf numFmtId="0" fontId="20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52" fillId="45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46" borderId="7" applyNumberFormat="0" applyFont="0" applyAlignment="0" applyProtection="0"/>
    <xf numFmtId="0" fontId="0" fillId="7" borderId="8" applyNumberFormat="0" applyAlignment="0" applyProtection="0"/>
    <xf numFmtId="9" fontId="0" fillId="0" borderId="0" applyFont="0" applyFill="0" applyBorder="0" applyAlignment="0" applyProtection="0"/>
    <xf numFmtId="0" fontId="53" fillId="47" borderId="0" applyNumberFormat="0" applyBorder="0" applyAlignment="0" applyProtection="0"/>
    <xf numFmtId="0" fontId="54" fillId="29" borderId="9" applyNumberFormat="0" applyAlignment="0" applyProtection="0"/>
    <xf numFmtId="0" fontId="22" fillId="30" borderId="10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1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32" fillId="0" borderId="14" applyNumberFormat="0" applyFill="0" applyAlignment="0" applyProtection="0"/>
    <xf numFmtId="0" fontId="60" fillId="0" borderId="15" applyNumberFormat="0" applyFill="0" applyAlignment="0" applyProtection="0"/>
    <xf numFmtId="0" fontId="33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25" fillId="0" borderId="18" applyNumberFormat="0" applyFill="0" applyAlignment="0" applyProtection="0"/>
    <xf numFmtId="171" fontId="0" fillId="0" borderId="0" applyFont="0" applyFill="0" applyBorder="0" applyAlignment="0" applyProtection="0"/>
    <xf numFmtId="179" fontId="0" fillId="0" borderId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ill="1" applyAlignment="1">
      <alignment/>
    </xf>
    <xf numFmtId="171" fontId="0" fillId="0" borderId="19" xfId="105" applyNumberFormat="1" applyFont="1" applyFill="1" applyBorder="1" applyAlignment="1">
      <alignment horizontal="right"/>
    </xf>
    <xf numFmtId="171" fontId="0" fillId="0" borderId="19" xfId="105" applyNumberFormat="1" applyFont="1" applyFill="1" applyBorder="1" applyAlignment="1">
      <alignment horizontal="right"/>
    </xf>
    <xf numFmtId="171" fontId="9" fillId="0" borderId="19" xfId="105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171" fontId="0" fillId="0" borderId="19" xfId="105" applyNumberFormat="1" applyFont="1" applyFill="1" applyBorder="1" applyAlignment="1">
      <alignment horizontal="right"/>
    </xf>
    <xf numFmtId="39" fontId="0" fillId="0" borderId="0" xfId="105" applyNumberFormat="1" applyFont="1" applyFill="1" applyBorder="1" applyAlignment="1">
      <alignment horizontal="right"/>
    </xf>
    <xf numFmtId="171" fontId="9" fillId="0" borderId="0" xfId="105" applyFont="1" applyFill="1" applyBorder="1" applyAlignment="1">
      <alignment/>
    </xf>
    <xf numFmtId="39" fontId="9" fillId="0" borderId="0" xfId="105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1" fontId="9" fillId="0" borderId="21" xfId="105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1" fontId="0" fillId="0" borderId="0" xfId="105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71" fontId="0" fillId="0" borderId="19" xfId="105" applyFont="1" applyFill="1" applyBorder="1" applyAlignment="1">
      <alignment horizontal="right"/>
    </xf>
    <xf numFmtId="171" fontId="9" fillId="0" borderId="23" xfId="105" applyFont="1" applyFill="1" applyBorder="1" applyAlignment="1">
      <alignment horizontal="right"/>
    </xf>
    <xf numFmtId="171" fontId="0" fillId="0" borderId="19" xfId="105" applyFont="1" applyFill="1" applyBorder="1" applyAlignment="1">
      <alignment horizontal="right"/>
    </xf>
    <xf numFmtId="171" fontId="9" fillId="0" borderId="22" xfId="105" applyFont="1" applyFill="1" applyBorder="1" applyAlignment="1">
      <alignment horizontal="right"/>
    </xf>
    <xf numFmtId="171" fontId="9" fillId="0" borderId="19" xfId="105" applyFont="1" applyFill="1" applyBorder="1" applyAlignment="1">
      <alignment horizontal="right"/>
    </xf>
    <xf numFmtId="0" fontId="10" fillId="0" borderId="22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/>
    </xf>
    <xf numFmtId="39" fontId="2" fillId="0" borderId="19" xfId="0" applyNumberFormat="1" applyFont="1" applyFill="1" applyBorder="1" applyAlignment="1">
      <alignment vertical="center"/>
    </xf>
    <xf numFmtId="39" fontId="2" fillId="0" borderId="0" xfId="0" applyNumberFormat="1" applyFont="1" applyFill="1" applyBorder="1" applyAlignment="1">
      <alignment vertical="center"/>
    </xf>
    <xf numFmtId="171" fontId="2" fillId="0" borderId="0" xfId="105" applyFont="1" applyFill="1" applyBorder="1" applyAlignment="1">
      <alignment vertical="center"/>
    </xf>
    <xf numFmtId="3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71" fontId="9" fillId="0" borderId="19" xfId="105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right"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71" fontId="0" fillId="0" borderId="26" xfId="105" applyFont="1" applyFill="1" applyBorder="1" applyAlignment="1">
      <alignment horizontal="right"/>
    </xf>
    <xf numFmtId="0" fontId="9" fillId="0" borderId="29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171" fontId="9" fillId="0" borderId="28" xfId="105" applyFont="1" applyFill="1" applyBorder="1" applyAlignment="1">
      <alignment horizontal="right"/>
    </xf>
    <xf numFmtId="171" fontId="9" fillId="0" borderId="23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19" xfId="0" applyNumberFormat="1" applyFont="1" applyFill="1" applyBorder="1" applyAlignment="1">
      <alignment vertical="center"/>
    </xf>
    <xf numFmtId="174" fontId="2" fillId="0" borderId="19" xfId="105" applyNumberFormat="1" applyFont="1" applyFill="1" applyBorder="1" applyAlignment="1">
      <alignment vertical="center"/>
    </xf>
    <xf numFmtId="174" fontId="2" fillId="0" borderId="23" xfId="0" applyNumberFormat="1" applyFont="1" applyFill="1" applyBorder="1" applyAlignment="1">
      <alignment horizontal="right" vertical="center"/>
    </xf>
    <xf numFmtId="174" fontId="2" fillId="0" borderId="23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Continuous" vertical="center"/>
    </xf>
    <xf numFmtId="174" fontId="6" fillId="0" borderId="19" xfId="0" applyNumberFormat="1" applyFont="1" applyFill="1" applyBorder="1" applyAlignment="1">
      <alignment vertical="center"/>
    </xf>
    <xf numFmtId="171" fontId="6" fillId="0" borderId="19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4" fontId="0" fillId="0" borderId="0" xfId="0" applyNumberFormat="1" applyFill="1" applyAlignment="1">
      <alignment horizontal="right" vertical="center"/>
    </xf>
    <xf numFmtId="171" fontId="2" fillId="0" borderId="24" xfId="0" applyNumberFormat="1" applyFont="1" applyFill="1" applyBorder="1" applyAlignment="1">
      <alignment vertical="center"/>
    </xf>
    <xf numFmtId="171" fontId="2" fillId="0" borderId="19" xfId="0" applyNumberFormat="1" applyFont="1" applyFill="1" applyBorder="1" applyAlignment="1">
      <alignment vertical="center"/>
    </xf>
    <xf numFmtId="171" fontId="2" fillId="0" borderId="28" xfId="0" applyNumberFormat="1" applyFont="1" applyFill="1" applyBorder="1" applyAlignment="1">
      <alignment vertical="center"/>
    </xf>
    <xf numFmtId="171" fontId="2" fillId="0" borderId="26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 vertical="center"/>
    </xf>
    <xf numFmtId="171" fontId="11" fillId="0" borderId="20" xfId="0" applyNumberFormat="1" applyFont="1" applyFill="1" applyBorder="1" applyAlignment="1">
      <alignment horizontal="center" vertical="center"/>
    </xf>
    <xf numFmtId="171" fontId="0" fillId="0" borderId="19" xfId="105" applyNumberFormat="1" applyFont="1" applyFill="1" applyBorder="1" applyAlignment="1">
      <alignment horizontal="right" vertical="center"/>
    </xf>
    <xf numFmtId="171" fontId="9" fillId="0" borderId="23" xfId="105" applyNumberFormat="1" applyFont="1" applyFill="1" applyBorder="1" applyAlignment="1">
      <alignment horizontal="right" vertical="center"/>
    </xf>
    <xf numFmtId="171" fontId="9" fillId="0" borderId="0" xfId="105" applyNumberFormat="1" applyFont="1" applyFill="1" applyBorder="1" applyAlignment="1">
      <alignment vertical="center"/>
    </xf>
    <xf numFmtId="171" fontId="9" fillId="0" borderId="22" xfId="105" applyNumberFormat="1" applyFont="1" applyFill="1" applyBorder="1" applyAlignment="1">
      <alignment horizontal="right"/>
    </xf>
    <xf numFmtId="171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71" fontId="6" fillId="0" borderId="19" xfId="105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171" fontId="9" fillId="0" borderId="22" xfId="105" applyNumberFormat="1" applyFont="1" applyFill="1" applyBorder="1" applyAlignment="1">
      <alignment horizontal="right" vertical="center"/>
    </xf>
    <xf numFmtId="171" fontId="0" fillId="0" borderId="19" xfId="105" applyNumberFormat="1" applyFont="1" applyFill="1" applyBorder="1" applyAlignment="1">
      <alignment horizontal="right" vertical="center"/>
    </xf>
    <xf numFmtId="171" fontId="0" fillId="0" borderId="19" xfId="105" applyNumberFormat="1" applyFont="1" applyFill="1" applyBorder="1" applyAlignment="1">
      <alignment horizontal="right" vertical="center"/>
    </xf>
    <xf numFmtId="171" fontId="0" fillId="0" borderId="19" xfId="105" applyNumberFormat="1" applyFont="1" applyFill="1" applyBorder="1" applyAlignment="1">
      <alignment horizontal="right" vertical="center"/>
    </xf>
    <xf numFmtId="174" fontId="10" fillId="0" borderId="19" xfId="0" applyNumberFormat="1" applyFont="1" applyFill="1" applyBorder="1" applyAlignment="1">
      <alignment vertical="center"/>
    </xf>
    <xf numFmtId="174" fontId="10" fillId="0" borderId="19" xfId="0" applyNumberFormat="1" applyFont="1" applyFill="1" applyBorder="1" applyAlignment="1">
      <alignment horizontal="right" vertical="center"/>
    </xf>
    <xf numFmtId="39" fontId="10" fillId="0" borderId="19" xfId="0" applyNumberFormat="1" applyFont="1" applyFill="1" applyBorder="1" applyAlignment="1">
      <alignment vertical="center"/>
    </xf>
    <xf numFmtId="39" fontId="10" fillId="0" borderId="0" xfId="0" applyNumberFormat="1" applyFont="1" applyFill="1" applyBorder="1" applyAlignment="1">
      <alignment vertical="center"/>
    </xf>
    <xf numFmtId="169" fontId="0" fillId="0" borderId="0" xfId="0" applyNumberFormat="1" applyFill="1" applyAlignment="1">
      <alignment vertical="center"/>
    </xf>
    <xf numFmtId="169" fontId="12" fillId="0" borderId="0" xfId="0" applyNumberFormat="1" applyFont="1" applyFill="1" applyAlignment="1">
      <alignment horizontal="left" vertical="center"/>
    </xf>
    <xf numFmtId="169" fontId="12" fillId="0" borderId="2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169" fontId="2" fillId="0" borderId="0" xfId="0" applyNumberFormat="1" applyFont="1" applyFill="1" applyAlignment="1">
      <alignment vertical="center"/>
    </xf>
    <xf numFmtId="169" fontId="10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9" fontId="10" fillId="0" borderId="21" xfId="0" applyNumberFormat="1" applyFont="1" applyFill="1" applyBorder="1" applyAlignment="1">
      <alignment vertical="center"/>
    </xf>
    <xf numFmtId="171" fontId="10" fillId="0" borderId="21" xfId="0" applyNumberFormat="1" applyFont="1" applyFill="1" applyBorder="1" applyAlignment="1">
      <alignment vertical="center"/>
    </xf>
    <xf numFmtId="169" fontId="10" fillId="0" borderId="22" xfId="0" applyNumberFormat="1" applyFont="1" applyFill="1" applyBorder="1" applyAlignment="1">
      <alignment vertical="center"/>
    </xf>
    <xf numFmtId="171" fontId="10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9" fontId="10" fillId="0" borderId="19" xfId="0" applyNumberFormat="1" applyFont="1" applyFill="1" applyBorder="1" applyAlignment="1">
      <alignment vertical="center"/>
    </xf>
    <xf numFmtId="171" fontId="10" fillId="0" borderId="19" xfId="0" applyNumberFormat="1" applyFont="1" applyFill="1" applyBorder="1" applyAlignment="1">
      <alignment vertical="center"/>
    </xf>
    <xf numFmtId="169" fontId="14" fillId="0" borderId="19" xfId="0" applyNumberFormat="1" applyFont="1" applyFill="1" applyBorder="1" applyAlignment="1" quotePrefix="1">
      <alignment horizontal="left" vertical="center"/>
    </xf>
    <xf numFmtId="169" fontId="2" fillId="0" borderId="19" xfId="0" applyNumberFormat="1" applyFont="1" applyFill="1" applyBorder="1" applyAlignment="1">
      <alignment vertical="center"/>
    </xf>
    <xf numFmtId="169" fontId="14" fillId="0" borderId="27" xfId="0" applyNumberFormat="1" applyFont="1" applyFill="1" applyBorder="1" applyAlignment="1">
      <alignment vertical="center"/>
    </xf>
    <xf numFmtId="171" fontId="2" fillId="0" borderId="27" xfId="0" applyNumberFormat="1" applyFont="1" applyFill="1" applyBorder="1" applyAlignment="1">
      <alignment vertical="center"/>
    </xf>
    <xf numFmtId="171" fontId="2" fillId="0" borderId="22" xfId="0" applyNumberFormat="1" applyFont="1" applyFill="1" applyBorder="1" applyAlignment="1">
      <alignment vertical="center"/>
    </xf>
    <xf numFmtId="169" fontId="2" fillId="0" borderId="24" xfId="0" applyNumberFormat="1" applyFont="1" applyFill="1" applyBorder="1" applyAlignment="1">
      <alignment vertical="center"/>
    </xf>
    <xf numFmtId="169" fontId="14" fillId="0" borderId="22" xfId="0" applyNumberFormat="1" applyFont="1" applyFill="1" applyBorder="1" applyAlignment="1">
      <alignment vertical="center"/>
    </xf>
    <xf numFmtId="169" fontId="2" fillId="0" borderId="19" xfId="0" applyNumberFormat="1" applyFont="1" applyFill="1" applyBorder="1" applyAlignment="1" quotePrefix="1">
      <alignment horizontal="left" vertical="center"/>
    </xf>
    <xf numFmtId="171" fontId="15" fillId="0" borderId="19" xfId="0" applyNumberFormat="1" applyFont="1" applyFill="1" applyBorder="1" applyAlignment="1">
      <alignment vertical="center"/>
    </xf>
    <xf numFmtId="169" fontId="2" fillId="0" borderId="19" xfId="0" applyNumberFormat="1" applyFont="1" applyFill="1" applyBorder="1" applyAlignment="1">
      <alignment horizontal="left" vertical="center"/>
    </xf>
    <xf numFmtId="16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171" fontId="0" fillId="0" borderId="19" xfId="105" applyFont="1" applyFill="1" applyBorder="1" applyAlignment="1">
      <alignment horizontal="right"/>
    </xf>
    <xf numFmtId="0" fontId="10" fillId="0" borderId="0" xfId="0" applyNumberFormat="1" applyFont="1" applyFill="1" applyAlignment="1">
      <alignment vertical="center"/>
    </xf>
    <xf numFmtId="0" fontId="13" fillId="0" borderId="20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horizontal="right" vertical="center"/>
    </xf>
    <xf numFmtId="0" fontId="10" fillId="0" borderId="19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76" fontId="10" fillId="0" borderId="2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horizontal="right" vertical="center"/>
    </xf>
    <xf numFmtId="2" fontId="10" fillId="0" borderId="19" xfId="0" applyNumberFormat="1" applyFont="1" applyFill="1" applyBorder="1" applyAlignment="1">
      <alignment horizontal="right" vertical="center"/>
    </xf>
    <xf numFmtId="2" fontId="10" fillId="0" borderId="26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2" fontId="2" fillId="0" borderId="26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39" fontId="11" fillId="0" borderId="22" xfId="0" applyNumberFormat="1" applyFont="1" applyFill="1" applyBorder="1" applyAlignment="1">
      <alignment horizontal="right" vertical="center"/>
    </xf>
    <xf numFmtId="4" fontId="11" fillId="0" borderId="22" xfId="0" applyNumberFormat="1" applyFont="1" applyFill="1" applyBorder="1" applyAlignment="1">
      <alignment horizontal="right" vertical="center"/>
    </xf>
    <xf numFmtId="39" fontId="12" fillId="0" borderId="19" xfId="0" applyNumberFormat="1" applyFont="1" applyFill="1" applyBorder="1" applyAlignment="1">
      <alignment horizontal="right" vertical="center"/>
    </xf>
    <xf numFmtId="4" fontId="12" fillId="0" borderId="19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39" fontId="11" fillId="0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Fill="1" applyBorder="1" applyAlignment="1">
      <alignment horizontal="right" vertical="center"/>
    </xf>
    <xf numFmtId="39" fontId="11" fillId="0" borderId="23" xfId="0" applyNumberFormat="1" applyFont="1" applyFill="1" applyBorder="1" applyAlignment="1">
      <alignment horizontal="right" vertical="center"/>
    </xf>
    <xf numFmtId="4" fontId="11" fillId="0" borderId="23" xfId="0" applyNumberFormat="1" applyFont="1" applyFill="1" applyBorder="1" applyAlignment="1">
      <alignment horizontal="right" vertical="center"/>
    </xf>
    <xf numFmtId="4" fontId="11" fillId="0" borderId="26" xfId="0" applyNumberFormat="1" applyFont="1" applyFill="1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9" fillId="0" borderId="21" xfId="105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0" fillId="0" borderId="19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 horizontal="right"/>
    </xf>
    <xf numFmtId="0" fontId="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2" fillId="0" borderId="3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1" fontId="0" fillId="0" borderId="0" xfId="105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43" fontId="0" fillId="0" borderId="0" xfId="0" applyNumberFormat="1" applyFill="1" applyAlignment="1">
      <alignment/>
    </xf>
    <xf numFmtId="43" fontId="0" fillId="0" borderId="0" xfId="0" applyNumberFormat="1" applyFill="1" applyAlignment="1">
      <alignment horizontal="right"/>
    </xf>
    <xf numFmtId="17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1" fontId="0" fillId="0" borderId="0" xfId="105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171" fontId="0" fillId="0" borderId="19" xfId="105" applyFont="1" applyFill="1" applyBorder="1" applyAlignment="1">
      <alignment horizontal="right"/>
    </xf>
    <xf numFmtId="171" fontId="0" fillId="0" borderId="19" xfId="105" applyFont="1" applyFill="1" applyBorder="1" applyAlignment="1">
      <alignment horizontal="right"/>
    </xf>
    <xf numFmtId="171" fontId="0" fillId="0" borderId="19" xfId="105" applyNumberFormat="1" applyFont="1" applyFill="1" applyBorder="1" applyAlignment="1">
      <alignment horizontal="right" vertical="center"/>
    </xf>
    <xf numFmtId="171" fontId="10" fillId="0" borderId="24" xfId="0" applyNumberFormat="1" applyFont="1" applyFill="1" applyBorder="1" applyAlignment="1">
      <alignment vertical="center"/>
    </xf>
    <xf numFmtId="171" fontId="0" fillId="48" borderId="0" xfId="0" applyNumberFormat="1" applyFont="1" applyFill="1" applyAlignment="1">
      <alignment vertical="center"/>
    </xf>
    <xf numFmtId="2" fontId="0" fillId="0" borderId="0" xfId="0" applyNumberFormat="1" applyFill="1" applyAlignment="1">
      <alignment/>
    </xf>
    <xf numFmtId="171" fontId="0" fillId="49" borderId="0" xfId="105" applyFont="1" applyFill="1" applyAlignment="1">
      <alignment vertical="center"/>
    </xf>
    <xf numFmtId="171" fontId="0" fillId="49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1" fontId="0" fillId="0" borderId="0" xfId="105" applyFont="1" applyFill="1" applyAlignment="1">
      <alignment horizontal="right"/>
    </xf>
    <xf numFmtId="171" fontId="9" fillId="0" borderId="27" xfId="0" applyNumberFormat="1" applyFont="1" applyFill="1" applyBorder="1" applyAlignment="1">
      <alignment horizontal="center" vertical="center"/>
    </xf>
    <xf numFmtId="171" fontId="9" fillId="0" borderId="24" xfId="105" applyNumberFormat="1" applyFont="1" applyFill="1" applyBorder="1" applyAlignment="1">
      <alignment horizontal="right" vertical="center"/>
    </xf>
    <xf numFmtId="171" fontId="0" fillId="0" borderId="24" xfId="105" applyNumberFormat="1" applyFont="1" applyFill="1" applyBorder="1" applyAlignment="1">
      <alignment horizontal="right" vertical="center"/>
    </xf>
    <xf numFmtId="171" fontId="9" fillId="0" borderId="25" xfId="105" applyNumberFormat="1" applyFont="1" applyFill="1" applyBorder="1" applyAlignment="1">
      <alignment horizontal="right" vertical="center"/>
    </xf>
    <xf numFmtId="171" fontId="9" fillId="0" borderId="26" xfId="105" applyNumberFormat="1" applyFont="1" applyFill="1" applyBorder="1" applyAlignment="1">
      <alignment horizontal="right" vertical="center"/>
    </xf>
    <xf numFmtId="39" fontId="11" fillId="0" borderId="0" xfId="0" applyNumberFormat="1" applyFont="1" applyFill="1" applyBorder="1" applyAlignment="1">
      <alignment horizontal="right" vertical="center"/>
    </xf>
    <xf numFmtId="39" fontId="11" fillId="0" borderId="21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171" fontId="9" fillId="0" borderId="21" xfId="105" applyNumberFormat="1" applyFont="1" applyFill="1" applyBorder="1" applyAlignment="1">
      <alignment horizontal="right" vertical="center"/>
    </xf>
    <xf numFmtId="4" fontId="11" fillId="0" borderId="21" xfId="0" applyNumberFormat="1" applyFont="1" applyFill="1" applyBorder="1" applyAlignment="1">
      <alignment horizontal="right" vertical="center"/>
    </xf>
    <xf numFmtId="171" fontId="9" fillId="0" borderId="32" xfId="0" applyNumberFormat="1" applyFont="1" applyFill="1" applyBorder="1" applyAlignment="1">
      <alignment horizontal="center" vertical="center"/>
    </xf>
    <xf numFmtId="171" fontId="9" fillId="0" borderId="0" xfId="105" applyNumberFormat="1" applyFont="1" applyFill="1" applyBorder="1" applyAlignment="1">
      <alignment horizontal="right" vertical="center"/>
    </xf>
    <xf numFmtId="171" fontId="9" fillId="0" borderId="20" xfId="105" applyNumberFormat="1" applyFont="1" applyFill="1" applyBorder="1" applyAlignment="1">
      <alignment horizontal="right" vertical="center"/>
    </xf>
    <xf numFmtId="39" fontId="11" fillId="0" borderId="26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 quotePrefix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1" fontId="0" fillId="0" borderId="26" xfId="105" applyFont="1" applyFill="1" applyBorder="1" applyAlignment="1">
      <alignment horizontal="right"/>
    </xf>
    <xf numFmtId="171" fontId="62" fillId="0" borderId="19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/>
    </xf>
    <xf numFmtId="171" fontId="9" fillId="0" borderId="21" xfId="105" applyNumberFormat="1" applyFont="1" applyFill="1" applyBorder="1" applyAlignment="1">
      <alignment horizontal="right"/>
    </xf>
    <xf numFmtId="4" fontId="9" fillId="0" borderId="21" xfId="105" applyNumberFormat="1" applyFont="1" applyFill="1" applyBorder="1" applyAlignment="1">
      <alignment horizontal="right"/>
    </xf>
    <xf numFmtId="4" fontId="6" fillId="50" borderId="19" xfId="0" applyNumberFormat="1" applyFont="1" applyFill="1" applyBorder="1" applyAlignment="1">
      <alignment vertical="center"/>
    </xf>
    <xf numFmtId="171" fontId="6" fillId="50" borderId="19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0" fillId="48" borderId="19" xfId="0" applyNumberFormat="1" applyFont="1" applyFill="1" applyBorder="1" applyAlignment="1">
      <alignment vertical="center"/>
    </xf>
    <xf numFmtId="174" fontId="10" fillId="48" borderId="19" xfId="0" applyNumberFormat="1" applyFont="1" applyFill="1" applyBorder="1" applyAlignment="1">
      <alignment vertical="center"/>
    </xf>
    <xf numFmtId="2" fontId="10" fillId="48" borderId="19" xfId="0" applyNumberFormat="1" applyFont="1" applyFill="1" applyBorder="1" applyAlignment="1">
      <alignment horizontal="right" vertical="center"/>
    </xf>
    <xf numFmtId="2" fontId="10" fillId="48" borderId="26" xfId="0" applyNumberFormat="1" applyFont="1" applyFill="1" applyBorder="1" applyAlignment="1">
      <alignment horizontal="right" vertical="center"/>
    </xf>
    <xf numFmtId="0" fontId="10" fillId="48" borderId="0" xfId="0" applyNumberFormat="1" applyFont="1" applyFill="1" applyAlignment="1">
      <alignment vertical="center"/>
    </xf>
    <xf numFmtId="0" fontId="9" fillId="48" borderId="0" xfId="0" applyFont="1" applyFill="1" applyAlignment="1">
      <alignment vertical="center"/>
    </xf>
    <xf numFmtId="0" fontId="2" fillId="48" borderId="19" xfId="0" applyNumberFormat="1" applyFont="1" applyFill="1" applyBorder="1" applyAlignment="1">
      <alignment vertical="center"/>
    </xf>
    <xf numFmtId="174" fontId="2" fillId="48" borderId="19" xfId="0" applyNumberFormat="1" applyFont="1" applyFill="1" applyBorder="1" applyAlignment="1">
      <alignment vertical="center"/>
    </xf>
    <xf numFmtId="2" fontId="2" fillId="48" borderId="19" xfId="0" applyNumberFormat="1" applyFont="1" applyFill="1" applyBorder="1" applyAlignment="1">
      <alignment horizontal="right" vertical="center"/>
    </xf>
    <xf numFmtId="2" fontId="2" fillId="48" borderId="26" xfId="0" applyNumberFormat="1" applyFont="1" applyFill="1" applyBorder="1" applyAlignment="1">
      <alignment horizontal="right" vertical="center"/>
    </xf>
    <xf numFmtId="0" fontId="2" fillId="48" borderId="0" xfId="0" applyNumberFormat="1" applyFont="1" applyFill="1" applyAlignment="1">
      <alignment vertical="center"/>
    </xf>
    <xf numFmtId="0" fontId="0" fillId="48" borderId="0" xfId="0" applyFont="1" applyFill="1" applyAlignment="1">
      <alignment vertical="center"/>
    </xf>
    <xf numFmtId="14" fontId="10" fillId="0" borderId="21" xfId="0" applyNumberFormat="1" applyFont="1" applyFill="1" applyBorder="1" applyAlignment="1">
      <alignment horizontal="center"/>
    </xf>
    <xf numFmtId="14" fontId="10" fillId="0" borderId="22" xfId="0" applyNumberFormat="1" applyFont="1" applyFill="1" applyBorder="1" applyAlignment="1">
      <alignment horizontal="center" vertical="center"/>
    </xf>
    <xf numFmtId="14" fontId="5" fillId="0" borderId="29" xfId="0" applyNumberFormat="1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1" fontId="2" fillId="48" borderId="19" xfId="0" applyNumberFormat="1" applyFont="1" applyFill="1" applyBorder="1" applyAlignment="1">
      <alignment vertical="center"/>
    </xf>
    <xf numFmtId="169" fontId="2" fillId="48" borderId="0" xfId="0" applyNumberFormat="1" applyFont="1" applyFill="1" applyAlignment="1">
      <alignment vertical="center"/>
    </xf>
    <xf numFmtId="169" fontId="2" fillId="48" borderId="19" xfId="0" applyNumberFormat="1" applyFont="1" applyFill="1" applyBorder="1" applyAlignment="1">
      <alignment vertical="center"/>
    </xf>
    <xf numFmtId="0" fontId="2" fillId="48" borderId="0" xfId="0" applyFont="1" applyFill="1" applyAlignment="1">
      <alignment vertical="center"/>
    </xf>
    <xf numFmtId="169" fontId="2" fillId="48" borderId="24" xfId="0" applyNumberFormat="1" applyFont="1" applyFill="1" applyBorder="1" applyAlignment="1">
      <alignment vertical="center"/>
    </xf>
    <xf numFmtId="171" fontId="2" fillId="48" borderId="24" xfId="0" applyNumberFormat="1" applyFont="1" applyFill="1" applyBorder="1" applyAlignment="1">
      <alignment vertical="center"/>
    </xf>
    <xf numFmtId="171" fontId="2" fillId="48" borderId="26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33" xfId="0" applyFont="1" applyFill="1" applyBorder="1" applyAlignment="1">
      <alignment/>
    </xf>
    <xf numFmtId="0" fontId="6" fillId="0" borderId="0" xfId="0" applyFont="1" applyFill="1" applyAlignment="1">
      <alignment/>
    </xf>
    <xf numFmtId="171" fontId="6" fillId="0" borderId="0" xfId="105" applyFont="1" applyFill="1" applyAlignment="1">
      <alignment/>
    </xf>
    <xf numFmtId="171" fontId="6" fillId="0" borderId="0" xfId="105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10" fontId="6" fillId="0" borderId="0" xfId="84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3" fontId="0" fillId="0" borderId="34" xfId="0" applyNumberFormat="1" applyFill="1" applyBorder="1" applyAlignment="1">
      <alignment/>
    </xf>
    <xf numFmtId="0" fontId="0" fillId="0" borderId="34" xfId="0" applyFont="1" applyFill="1" applyBorder="1" applyAlignment="1">
      <alignment/>
    </xf>
    <xf numFmtId="171" fontId="0" fillId="48" borderId="0" xfId="105" applyFont="1" applyFill="1" applyAlignment="1">
      <alignment vertical="center"/>
    </xf>
    <xf numFmtId="171" fontId="0" fillId="26" borderId="0" xfId="0" applyNumberFormat="1" applyFont="1" applyFill="1" applyAlignment="1">
      <alignment vertical="center"/>
    </xf>
    <xf numFmtId="171" fontId="0" fillId="26" borderId="0" xfId="0" applyNumberFormat="1" applyFont="1" applyFill="1" applyBorder="1" applyAlignment="1">
      <alignment vertical="center"/>
    </xf>
    <xf numFmtId="171" fontId="0" fillId="51" borderId="0" xfId="0" applyNumberFormat="1" applyFont="1" applyFill="1" applyAlignment="1">
      <alignment vertical="center"/>
    </xf>
    <xf numFmtId="43" fontId="0" fillId="52" borderId="0" xfId="0" applyNumberFormat="1" applyFont="1" applyFill="1" applyAlignment="1">
      <alignment vertical="center"/>
    </xf>
    <xf numFmtId="171" fontId="0" fillId="52" borderId="0" xfId="0" applyNumberFormat="1" applyFont="1" applyFill="1" applyAlignment="1">
      <alignment vertical="center"/>
    </xf>
    <xf numFmtId="10" fontId="0" fillId="0" borderId="0" xfId="84" applyNumberFormat="1" applyFont="1" applyFill="1" applyAlignment="1">
      <alignment/>
    </xf>
    <xf numFmtId="43" fontId="0" fillId="48" borderId="34" xfId="0" applyNumberFormat="1" applyFill="1" applyBorder="1" applyAlignment="1">
      <alignment/>
    </xf>
    <xf numFmtId="0" fontId="7" fillId="0" borderId="0" xfId="73" applyFill="1" applyAlignment="1" applyProtection="1">
      <alignment vertical="center"/>
      <protection/>
    </xf>
    <xf numFmtId="195" fontId="9" fillId="0" borderId="0" xfId="105" applyNumberFormat="1" applyFont="1" applyFill="1" applyBorder="1" applyAlignment="1">
      <alignment/>
    </xf>
    <xf numFmtId="171" fontId="0" fillId="0" borderId="19" xfId="0" applyNumberFormat="1" applyFont="1" applyFill="1" applyBorder="1" applyAlignment="1">
      <alignment horizontal="right"/>
    </xf>
    <xf numFmtId="171" fontId="0" fillId="0" borderId="19" xfId="105" applyNumberFormat="1" applyFont="1" applyFill="1" applyBorder="1" applyAlignment="1">
      <alignment horizontal="right"/>
    </xf>
    <xf numFmtId="2" fontId="0" fillId="48" borderId="0" xfId="0" applyNumberFormat="1" applyFill="1" applyAlignment="1">
      <alignment/>
    </xf>
    <xf numFmtId="171" fontId="0" fillId="48" borderId="19" xfId="105" applyNumberFormat="1" applyFont="1" applyFill="1" applyBorder="1" applyAlignment="1">
      <alignment horizontal="right"/>
    </xf>
    <xf numFmtId="171" fontId="0" fillId="48" borderId="19" xfId="105" applyNumberFormat="1" applyFont="1" applyFill="1" applyBorder="1" applyAlignment="1">
      <alignment horizontal="right"/>
    </xf>
    <xf numFmtId="0" fontId="9" fillId="48" borderId="19" xfId="0" applyFont="1" applyFill="1" applyBorder="1" applyAlignment="1">
      <alignment/>
    </xf>
    <xf numFmtId="171" fontId="9" fillId="48" borderId="19" xfId="105" applyNumberFormat="1" applyFont="1" applyFill="1" applyBorder="1" applyAlignment="1">
      <alignment horizontal="right"/>
    </xf>
    <xf numFmtId="171" fontId="6" fillId="48" borderId="19" xfId="0" applyNumberFormat="1" applyFont="1" applyFill="1" applyBorder="1" applyAlignment="1">
      <alignment vertical="center"/>
    </xf>
    <xf numFmtId="171" fontId="9" fillId="48" borderId="23" xfId="105" applyFont="1" applyFill="1" applyBorder="1" applyAlignment="1">
      <alignment horizontal="right"/>
    </xf>
    <xf numFmtId="0" fontId="9" fillId="48" borderId="25" xfId="0" applyFont="1" applyFill="1" applyBorder="1" applyAlignment="1">
      <alignment/>
    </xf>
    <xf numFmtId="171" fontId="0" fillId="48" borderId="19" xfId="105" applyFont="1" applyFill="1" applyBorder="1" applyAlignment="1">
      <alignment/>
    </xf>
    <xf numFmtId="171" fontId="0" fillId="53" borderId="19" xfId="105" applyFont="1" applyFill="1" applyBorder="1" applyAlignment="1">
      <alignment horizontal="right"/>
    </xf>
    <xf numFmtId="43" fontId="0" fillId="53" borderId="0" xfId="0" applyNumberFormat="1" applyFill="1" applyAlignment="1">
      <alignment/>
    </xf>
    <xf numFmtId="171" fontId="0" fillId="54" borderId="0" xfId="105" applyFont="1" applyFill="1" applyAlignment="1">
      <alignment/>
    </xf>
    <xf numFmtId="171" fontId="0" fillId="54" borderId="19" xfId="105" applyFont="1" applyFill="1" applyBorder="1" applyAlignment="1">
      <alignment horizontal="right"/>
    </xf>
    <xf numFmtId="171" fontId="0" fillId="55" borderId="19" xfId="105" applyFont="1" applyFill="1" applyBorder="1" applyAlignment="1">
      <alignment horizontal="right"/>
    </xf>
    <xf numFmtId="171" fontId="0" fillId="55" borderId="0" xfId="0" applyNumberFormat="1" applyFill="1" applyAlignment="1">
      <alignment/>
    </xf>
    <xf numFmtId="4" fontId="6" fillId="48" borderId="19" xfId="0" applyNumberFormat="1" applyFont="1" applyFill="1" applyBorder="1" applyAlignment="1">
      <alignment vertical="center"/>
    </xf>
    <xf numFmtId="0" fontId="0" fillId="48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71" fontId="0" fillId="0" borderId="0" xfId="105" applyNumberFormat="1" applyFont="1" applyFill="1" applyBorder="1" applyAlignment="1">
      <alignment horizontal="right" vertical="center"/>
    </xf>
    <xf numFmtId="14" fontId="5" fillId="0" borderId="29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 vertical="center"/>
    </xf>
    <xf numFmtId="169" fontId="10" fillId="0" borderId="21" xfId="0" applyNumberFormat="1" applyFont="1" applyFill="1" applyBorder="1" applyAlignment="1">
      <alignment horizontal="center" vertical="center"/>
    </xf>
    <xf numFmtId="169" fontId="10" fillId="0" borderId="21" xfId="0" applyNumberFormat="1" applyFont="1" applyFill="1" applyBorder="1" applyAlignment="1">
      <alignment horizontal="center" vertical="center" wrapText="1"/>
    </xf>
    <xf numFmtId="169" fontId="10" fillId="0" borderId="22" xfId="0" applyNumberFormat="1" applyFont="1" applyFill="1" applyBorder="1" applyAlignment="1">
      <alignment horizontal="center" vertical="center"/>
    </xf>
    <xf numFmtId="169" fontId="10" fillId="0" borderId="23" xfId="0" applyNumberFormat="1" applyFont="1" applyFill="1" applyBorder="1" applyAlignment="1">
      <alignment horizontal="center" vertical="center"/>
    </xf>
    <xf numFmtId="169" fontId="10" fillId="0" borderId="22" xfId="0" applyNumberFormat="1" applyFont="1" applyFill="1" applyBorder="1" applyAlignment="1">
      <alignment horizontal="center" vertical="center" wrapText="1"/>
    </xf>
    <xf numFmtId="169" fontId="10" fillId="0" borderId="23" xfId="0" applyNumberFormat="1" applyFont="1" applyFill="1" applyBorder="1" applyAlignment="1">
      <alignment horizontal="center" vertical="center" wrapText="1"/>
    </xf>
    <xf numFmtId="169" fontId="10" fillId="0" borderId="0" xfId="0" applyNumberFormat="1" applyFont="1" applyFill="1" applyBorder="1" applyAlignment="1">
      <alignment horizontal="center" vertical="center"/>
    </xf>
  </cellXfs>
  <cellStyles count="9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 2" xfId="75"/>
    <cellStyle name="Currency" xfId="76"/>
    <cellStyle name="Currency [0]" xfId="77"/>
    <cellStyle name="Neutra 2" xfId="78"/>
    <cellStyle name="Neutro" xfId="79"/>
    <cellStyle name="Normal 2" xfId="80"/>
    <cellStyle name="Normal 3" xfId="81"/>
    <cellStyle name="Nota" xfId="82"/>
    <cellStyle name="Nota 2" xfId="83"/>
    <cellStyle name="Percent" xfId="84"/>
    <cellStyle name="Ruim" xfId="85"/>
    <cellStyle name="Saída" xfId="86"/>
    <cellStyle name="Saída 2" xfId="87"/>
    <cellStyle name="Comma [0]" xfId="88"/>
    <cellStyle name="Texto de Aviso" xfId="89"/>
    <cellStyle name="Texto de Aviso 2" xfId="90"/>
    <cellStyle name="Texto Explicativo" xfId="91"/>
    <cellStyle name="Texto Explicativo 2" xfId="92"/>
    <cellStyle name="Título" xfId="93"/>
    <cellStyle name="Título 1" xfId="94"/>
    <cellStyle name="Título 1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otal" xfId="103"/>
    <cellStyle name="Total 2" xfId="104"/>
    <cellStyle name="Comma" xfId="105"/>
    <cellStyle name="Vírgula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showGridLines="0" tabSelected="1" zoomScale="115" zoomScaleNormal="115" zoomScalePageLayoutView="0" workbookViewId="0" topLeftCell="A1">
      <selection activeCell="A66" sqref="A66"/>
    </sheetView>
  </sheetViews>
  <sheetFormatPr defaultColWidth="11.421875" defaultRowHeight="12.75"/>
  <cols>
    <col min="1" max="1" width="47.28125" style="88" customWidth="1"/>
    <col min="2" max="2" width="6.28125" style="71" bestFit="1" customWidth="1"/>
    <col min="3" max="3" width="19.7109375" style="59" customWidth="1"/>
    <col min="4" max="4" width="20.00390625" style="59" customWidth="1"/>
    <col min="5" max="5" width="5.28125" style="87" customWidth="1"/>
    <col min="6" max="6" width="16.421875" style="59" customWidth="1"/>
    <col min="7" max="7" width="18.7109375" style="59" customWidth="1"/>
    <col min="8" max="8" width="20.00390625" style="88" customWidth="1"/>
    <col min="9" max="9" width="15.7109375" style="88" customWidth="1"/>
    <col min="10" max="10" width="14.421875" style="88" customWidth="1"/>
    <col min="11" max="16384" width="11.421875" style="88" customWidth="1"/>
  </cols>
  <sheetData>
    <row r="1" spans="1:7" s="63" customFormat="1" ht="15" customHeight="1">
      <c r="A1" s="321" t="s">
        <v>366</v>
      </c>
      <c r="B1" s="321"/>
      <c r="C1" s="321"/>
      <c r="D1" s="321"/>
      <c r="E1" s="61"/>
      <c r="F1" s="62"/>
      <c r="G1" s="62"/>
    </row>
    <row r="2" spans="1:7" s="67" customFormat="1" ht="15" customHeight="1">
      <c r="A2" s="322" t="s">
        <v>367</v>
      </c>
      <c r="B2" s="322"/>
      <c r="C2" s="322"/>
      <c r="D2" s="322"/>
      <c r="E2" s="64"/>
      <c r="F2" s="65"/>
      <c r="G2" s="66"/>
    </row>
    <row r="3" spans="1:7" s="69" customFormat="1" ht="15" customHeight="1">
      <c r="A3" s="320" t="s">
        <v>308</v>
      </c>
      <c r="B3" s="320"/>
      <c r="C3" s="320"/>
      <c r="D3" s="320"/>
      <c r="E3" s="68"/>
      <c r="F3" s="53"/>
      <c r="G3" s="53"/>
    </row>
    <row r="4" spans="1:7" s="69" customFormat="1" ht="15" customHeight="1">
      <c r="A4" s="320" t="s">
        <v>48</v>
      </c>
      <c r="B4" s="320"/>
      <c r="C4" s="320"/>
      <c r="D4" s="320"/>
      <c r="E4" s="68"/>
      <c r="F4" s="53"/>
      <c r="G4" s="53"/>
    </row>
    <row r="5" spans="1:7" s="69" customFormat="1" ht="15" customHeight="1">
      <c r="A5" s="70"/>
      <c r="B5" s="71"/>
      <c r="C5" s="53"/>
      <c r="D5" s="53"/>
      <c r="E5" s="68"/>
      <c r="F5" s="53"/>
      <c r="G5" s="53"/>
    </row>
    <row r="6" spans="1:8" s="76" customFormat="1" ht="15" customHeight="1">
      <c r="A6" s="72" t="s">
        <v>0</v>
      </c>
      <c r="B6" s="73" t="s">
        <v>112</v>
      </c>
      <c r="C6" s="264">
        <v>43100</v>
      </c>
      <c r="D6" s="264">
        <v>42735</v>
      </c>
      <c r="E6" s="74" t="s">
        <v>135</v>
      </c>
      <c r="F6" s="75" t="s">
        <v>138</v>
      </c>
      <c r="G6" s="75" t="s">
        <v>189</v>
      </c>
      <c r="H6" s="75" t="s">
        <v>139</v>
      </c>
    </row>
    <row r="7" spans="1:5" s="76" customFormat="1" ht="15" customHeight="1">
      <c r="A7" s="77" t="s">
        <v>35</v>
      </c>
      <c r="B7" s="78"/>
      <c r="C7" s="28">
        <f>C35+C27+C14+C9</f>
        <v>782692698.99</v>
      </c>
      <c r="D7" s="28">
        <f>D35+D27+D14+D9</f>
        <v>681850172.59</v>
      </c>
      <c r="E7" s="74"/>
    </row>
    <row r="8" spans="1:5" s="76" customFormat="1" ht="12.75" customHeight="1">
      <c r="A8" s="79"/>
      <c r="B8" s="78"/>
      <c r="C8" s="29"/>
      <c r="D8" s="29"/>
      <c r="E8" s="74"/>
    </row>
    <row r="9" spans="1:5" s="76" customFormat="1" ht="12.75" customHeight="1">
      <c r="A9" s="80" t="s">
        <v>176</v>
      </c>
      <c r="B9" s="277" t="s">
        <v>307</v>
      </c>
      <c r="C9" s="28">
        <f>C12+C11+C10</f>
        <v>274349857.23999995</v>
      </c>
      <c r="D9" s="28">
        <f>D12+D11+D10</f>
        <v>252833589.76</v>
      </c>
      <c r="E9" s="74"/>
    </row>
    <row r="10" spans="1:5" s="76" customFormat="1" ht="12.75" customHeight="1">
      <c r="A10" s="79" t="s">
        <v>1</v>
      </c>
      <c r="B10" s="78"/>
      <c r="C10" s="29">
        <v>256993.34</v>
      </c>
      <c r="D10" s="29">
        <v>383103.57</v>
      </c>
      <c r="E10" s="74"/>
    </row>
    <row r="11" spans="1:5" s="76" customFormat="1" ht="12.75" customHeight="1">
      <c r="A11" s="79" t="s">
        <v>2</v>
      </c>
      <c r="B11" s="78"/>
      <c r="C11" s="29">
        <v>17852263.12</v>
      </c>
      <c r="D11" s="29">
        <v>22810273.2</v>
      </c>
      <c r="E11" s="74"/>
    </row>
    <row r="12" spans="1:5" s="76" customFormat="1" ht="12.75" customHeight="1">
      <c r="A12" s="79" t="s">
        <v>4</v>
      </c>
      <c r="B12" s="277" t="s">
        <v>281</v>
      </c>
      <c r="C12" s="317">
        <v>256240600.78</v>
      </c>
      <c r="D12" s="29">
        <v>229640212.99</v>
      </c>
      <c r="E12" s="74"/>
    </row>
    <row r="13" spans="1:5" s="76" customFormat="1" ht="12.75" customHeight="1">
      <c r="A13" s="79"/>
      <c r="B13" s="78"/>
      <c r="C13" s="29"/>
      <c r="D13" s="29"/>
      <c r="E13" s="74"/>
    </row>
    <row r="14" spans="1:5" s="76" customFormat="1" ht="12.75" customHeight="1">
      <c r="A14" s="81" t="s">
        <v>177</v>
      </c>
      <c r="B14" s="78"/>
      <c r="C14" s="28">
        <f>C25+C24+C23+C22+C21+C20+C19+C18+C17+C16+C15</f>
        <v>252025312.56000003</v>
      </c>
      <c r="D14" s="28">
        <f>D25+D24+D23+D22+D21+D20+D19+D18+D17+D16+D15</f>
        <v>189002714.54000002</v>
      </c>
      <c r="E14" s="74"/>
    </row>
    <row r="15" spans="1:9" s="76" customFormat="1" ht="12.75" customHeight="1">
      <c r="A15" s="79" t="s">
        <v>115</v>
      </c>
      <c r="B15" s="277" t="s">
        <v>282</v>
      </c>
      <c r="C15" s="29">
        <v>3773577.65</v>
      </c>
      <c r="D15" s="29">
        <v>2673065.11</v>
      </c>
      <c r="E15" s="74" t="s">
        <v>136</v>
      </c>
      <c r="F15" s="82">
        <f>C15-D15</f>
        <v>1100512.54</v>
      </c>
      <c r="H15" s="82">
        <f>F15+G15</f>
        <v>1100512.54</v>
      </c>
      <c r="I15" s="82">
        <f>D15+D41</f>
        <v>4324200.37</v>
      </c>
    </row>
    <row r="16" spans="1:8" s="76" customFormat="1" ht="12.75" customHeight="1">
      <c r="A16" s="79" t="s">
        <v>116</v>
      </c>
      <c r="B16" s="277" t="s">
        <v>283</v>
      </c>
      <c r="C16" s="29">
        <v>79313478.74</v>
      </c>
      <c r="D16" s="29">
        <v>79633551.17</v>
      </c>
      <c r="E16" s="74" t="s">
        <v>136</v>
      </c>
      <c r="F16" s="82">
        <f aca="true" t="shared" si="0" ref="F16:F27">C16-D16</f>
        <v>-320072.43000000715</v>
      </c>
      <c r="H16" s="82">
        <f aca="true" t="shared" si="1" ref="H16:H27">F16+G16</f>
        <v>-320072.43000000715</v>
      </c>
    </row>
    <row r="17" spans="1:8" s="76" customFormat="1" ht="12.75" customHeight="1">
      <c r="A17" s="79" t="s">
        <v>8</v>
      </c>
      <c r="B17" s="78"/>
      <c r="C17" s="29">
        <v>0</v>
      </c>
      <c r="D17" s="29">
        <v>0</v>
      </c>
      <c r="E17" s="74" t="s">
        <v>136</v>
      </c>
      <c r="F17" s="82">
        <f t="shared" si="0"/>
        <v>0</v>
      </c>
      <c r="H17" s="82">
        <f t="shared" si="1"/>
        <v>0</v>
      </c>
    </row>
    <row r="18" spans="1:10" s="76" customFormat="1" ht="12.75" customHeight="1">
      <c r="A18" s="79" t="s">
        <v>204</v>
      </c>
      <c r="B18" s="277" t="s">
        <v>284</v>
      </c>
      <c r="C18" s="29">
        <v>10948737.37</v>
      </c>
      <c r="D18" s="29">
        <v>8317322.66</v>
      </c>
      <c r="E18" s="74" t="s">
        <v>136</v>
      </c>
      <c r="F18" s="82">
        <f t="shared" si="0"/>
        <v>2631414.709999999</v>
      </c>
      <c r="G18" s="295">
        <f>I45</f>
        <v>-5074695</v>
      </c>
      <c r="H18" s="82">
        <f>F18+G18</f>
        <v>-2443280.290000001</v>
      </c>
      <c r="I18" s="211"/>
      <c r="J18" s="212"/>
    </row>
    <row r="19" spans="1:10" s="76" customFormat="1" ht="12.75" customHeight="1">
      <c r="A19" s="79" t="s">
        <v>117</v>
      </c>
      <c r="B19" s="277" t="s">
        <v>285</v>
      </c>
      <c r="C19" s="29">
        <v>122617900.69</v>
      </c>
      <c r="D19" s="29">
        <v>69662697.64</v>
      </c>
      <c r="E19" s="74" t="s">
        <v>136</v>
      </c>
      <c r="F19" s="82">
        <f t="shared" si="0"/>
        <v>52955203.05</v>
      </c>
      <c r="H19" s="82">
        <f t="shared" si="1"/>
        <v>52955203.05</v>
      </c>
      <c r="I19" s="211"/>
      <c r="J19" s="212"/>
    </row>
    <row r="20" spans="1:8" s="76" customFormat="1" ht="12.75" customHeight="1">
      <c r="A20" s="79" t="s">
        <v>11</v>
      </c>
      <c r="B20" s="78"/>
      <c r="C20" s="29">
        <v>7287887.63</v>
      </c>
      <c r="D20" s="29">
        <v>7067600.49</v>
      </c>
      <c r="E20" s="74" t="s">
        <v>136</v>
      </c>
      <c r="F20" s="82">
        <f t="shared" si="0"/>
        <v>220287.13999999966</v>
      </c>
      <c r="H20" s="82">
        <f t="shared" si="1"/>
        <v>220287.13999999966</v>
      </c>
    </row>
    <row r="21" spans="1:10" s="76" customFormat="1" ht="12.75" customHeight="1">
      <c r="A21" s="79" t="s">
        <v>326</v>
      </c>
      <c r="B21" s="277" t="s">
        <v>330</v>
      </c>
      <c r="C21" s="54">
        <v>-2997085.31</v>
      </c>
      <c r="D21" s="54">
        <v>-1480186.99</v>
      </c>
      <c r="E21" s="74" t="s">
        <v>136</v>
      </c>
      <c r="F21" s="82">
        <f>C21-D21</f>
        <v>-1516898.32</v>
      </c>
      <c r="G21" s="293">
        <v>1516898.32</v>
      </c>
      <c r="H21" s="82">
        <f t="shared" si="1"/>
        <v>0</v>
      </c>
      <c r="J21" s="212"/>
    </row>
    <row r="22" spans="1:8" s="76" customFormat="1" ht="12.75" customHeight="1">
      <c r="A22" s="79" t="s">
        <v>122</v>
      </c>
      <c r="B22" s="277" t="s">
        <v>286</v>
      </c>
      <c r="C22" s="29">
        <v>9876006.08</v>
      </c>
      <c r="D22" s="29">
        <v>5390803.76</v>
      </c>
      <c r="E22" s="74" t="s">
        <v>136</v>
      </c>
      <c r="F22" s="82">
        <f t="shared" si="0"/>
        <v>4485202.32</v>
      </c>
      <c r="H22" s="82">
        <f t="shared" si="1"/>
        <v>4485202.32</v>
      </c>
    </row>
    <row r="23" spans="1:9" s="76" customFormat="1" ht="12.75" customHeight="1">
      <c r="A23" s="79" t="s">
        <v>13</v>
      </c>
      <c r="B23" s="78"/>
      <c r="C23" s="29">
        <v>9575478.32</v>
      </c>
      <c r="D23" s="29">
        <v>9863190.78</v>
      </c>
      <c r="E23" s="74" t="s">
        <v>136</v>
      </c>
      <c r="F23" s="82">
        <f t="shared" si="0"/>
        <v>-287712.45999999903</v>
      </c>
      <c r="H23" s="82">
        <f t="shared" si="1"/>
        <v>-287712.45999999903</v>
      </c>
      <c r="I23" s="212"/>
    </row>
    <row r="24" spans="1:8" s="76" customFormat="1" ht="12.75" customHeight="1">
      <c r="A24" s="79" t="s">
        <v>14</v>
      </c>
      <c r="B24" s="78"/>
      <c r="C24" s="29">
        <v>11629331.39</v>
      </c>
      <c r="D24" s="29">
        <v>7874669.92</v>
      </c>
      <c r="E24" s="74" t="s">
        <v>136</v>
      </c>
      <c r="F24" s="82">
        <f t="shared" si="0"/>
        <v>3754661.4700000007</v>
      </c>
      <c r="H24" s="82">
        <f>F24+G24</f>
        <v>3754661.4700000007</v>
      </c>
    </row>
    <row r="25" spans="1:8" s="76" customFormat="1" ht="12.75" customHeight="1">
      <c r="A25" s="79"/>
      <c r="B25" s="78"/>
      <c r="C25" s="103"/>
      <c r="D25" s="103"/>
      <c r="E25" s="74" t="s">
        <v>136</v>
      </c>
      <c r="F25" s="82">
        <f t="shared" si="0"/>
        <v>0</v>
      </c>
      <c r="H25" s="82">
        <f t="shared" si="1"/>
        <v>0</v>
      </c>
    </row>
    <row r="26" spans="1:5" s="76" customFormat="1" ht="12.75" customHeight="1">
      <c r="A26" s="81"/>
      <c r="B26" s="78"/>
      <c r="C26" s="28"/>
      <c r="D26" s="28"/>
      <c r="E26" s="74"/>
    </row>
    <row r="27" spans="1:8" s="76" customFormat="1" ht="12.75" customHeight="1">
      <c r="A27" s="81" t="s">
        <v>118</v>
      </c>
      <c r="B27" s="277" t="s">
        <v>287</v>
      </c>
      <c r="C27" s="28">
        <f>C33+C31+C30+C29+C28+C32</f>
        <v>255281239.45000002</v>
      </c>
      <c r="D27" s="28">
        <f>D33+D31+D30+D29+D28+D32</f>
        <v>238717548.14</v>
      </c>
      <c r="E27" s="74" t="s">
        <v>136</v>
      </c>
      <c r="F27" s="82">
        <f t="shared" si="0"/>
        <v>16563691.310000032</v>
      </c>
      <c r="H27" s="82">
        <f t="shared" si="1"/>
        <v>16563691.310000032</v>
      </c>
    </row>
    <row r="28" spans="1:5" s="76" customFormat="1" ht="12.75" customHeight="1">
      <c r="A28" s="79" t="s">
        <v>38</v>
      </c>
      <c r="B28" s="78"/>
      <c r="C28" s="29">
        <v>123899022.61</v>
      </c>
      <c r="D28" s="29">
        <v>81392594.09</v>
      </c>
      <c r="E28" s="74"/>
    </row>
    <row r="29" spans="1:5" s="76" customFormat="1" ht="12.75" customHeight="1">
      <c r="A29" s="79" t="s">
        <v>39</v>
      </c>
      <c r="B29" s="78"/>
      <c r="C29" s="29">
        <v>85803226.7</v>
      </c>
      <c r="D29" s="29">
        <v>106545216.37</v>
      </c>
      <c r="E29" s="74"/>
    </row>
    <row r="30" spans="1:5" s="76" customFormat="1" ht="12.75" customHeight="1">
      <c r="A30" s="79" t="s">
        <v>40</v>
      </c>
      <c r="B30" s="78"/>
      <c r="C30" s="29">
        <v>6137377.85</v>
      </c>
      <c r="D30" s="29">
        <v>8281196.94</v>
      </c>
      <c r="E30" s="74"/>
    </row>
    <row r="31" spans="1:5" s="76" customFormat="1" ht="12.75" customHeight="1">
      <c r="A31" s="79" t="s">
        <v>42</v>
      </c>
      <c r="B31" s="78"/>
      <c r="C31" s="29">
        <v>15705768.76</v>
      </c>
      <c r="D31" s="29">
        <v>16666821.29</v>
      </c>
      <c r="E31" s="74"/>
    </row>
    <row r="32" spans="1:5" s="76" customFormat="1" ht="12.75" customHeight="1">
      <c r="A32" s="79" t="s">
        <v>237</v>
      </c>
      <c r="B32" s="78"/>
      <c r="C32" s="29">
        <v>13476159.35</v>
      </c>
      <c r="D32" s="29">
        <v>14619852.23</v>
      </c>
      <c r="E32" s="74"/>
    </row>
    <row r="33" spans="1:9" s="76" customFormat="1" ht="12.75" customHeight="1">
      <c r="A33" s="79" t="s">
        <v>41</v>
      </c>
      <c r="B33" s="78"/>
      <c r="C33" s="29">
        <v>10259684.18</v>
      </c>
      <c r="D33" s="29">
        <v>11211867.22</v>
      </c>
      <c r="E33" s="74"/>
      <c r="I33" s="212"/>
    </row>
    <row r="34" spans="1:5" s="76" customFormat="1" ht="12.75" customHeight="1">
      <c r="A34" s="81"/>
      <c r="B34" s="78"/>
      <c r="C34" s="28"/>
      <c r="D34" s="28"/>
      <c r="E34" s="74"/>
    </row>
    <row r="35" spans="1:8" s="76" customFormat="1" ht="12.75" customHeight="1">
      <c r="A35" s="81" t="s">
        <v>119</v>
      </c>
      <c r="B35" s="277" t="s">
        <v>288</v>
      </c>
      <c r="C35" s="28">
        <v>1036289.74</v>
      </c>
      <c r="D35" s="28">
        <v>1296320.15</v>
      </c>
      <c r="E35" s="74" t="s">
        <v>136</v>
      </c>
      <c r="F35" s="82">
        <f>C35-D35</f>
        <v>-260030.40999999992</v>
      </c>
      <c r="H35" s="82">
        <f>F35+G35</f>
        <v>-260030.40999999992</v>
      </c>
    </row>
    <row r="36" spans="1:5" s="76" customFormat="1" ht="12.75" customHeight="1">
      <c r="A36" s="81"/>
      <c r="B36" s="78"/>
      <c r="C36" s="28"/>
      <c r="D36" s="28"/>
      <c r="E36" s="74"/>
    </row>
    <row r="37" spans="1:5" s="76" customFormat="1" ht="12.75" customHeight="1">
      <c r="A37" s="81"/>
      <c r="B37" s="78"/>
      <c r="C37" s="28"/>
      <c r="D37" s="28"/>
      <c r="E37" s="74"/>
    </row>
    <row r="38" spans="1:5" s="76" customFormat="1" ht="12.75" customHeight="1">
      <c r="A38" s="81" t="s">
        <v>33</v>
      </c>
      <c r="B38" s="78"/>
      <c r="C38" s="28">
        <f>C40+C50+C55+C67</f>
        <v>447186322.01</v>
      </c>
      <c r="D38" s="28">
        <f>D40+D50+D55+D67</f>
        <v>428259121.04</v>
      </c>
      <c r="E38" s="74"/>
    </row>
    <row r="39" spans="1:5" s="76" customFormat="1" ht="12.75" customHeight="1">
      <c r="A39" s="79"/>
      <c r="B39" s="78"/>
      <c r="C39" s="29"/>
      <c r="D39" s="29"/>
      <c r="E39" s="74"/>
    </row>
    <row r="40" spans="1:8" s="76" customFormat="1" ht="12.75" customHeight="1">
      <c r="A40" s="81" t="s">
        <v>34</v>
      </c>
      <c r="B40" s="78"/>
      <c r="C40" s="28">
        <f>C48+C46+C47+C45+C44+C43+C42+C41</f>
        <v>96254542.47</v>
      </c>
      <c r="D40" s="28">
        <f>D48+D46+D47+D45+D44+D43+D42+D41</f>
        <v>74222190.63000001</v>
      </c>
      <c r="E40" s="74" t="s">
        <v>136</v>
      </c>
      <c r="F40" s="82">
        <f aca="true" t="shared" si="2" ref="F40:F50">C40-D40</f>
        <v>22032351.83999999</v>
      </c>
      <c r="G40" s="101">
        <f>G43+G45</f>
        <v>-31366812.28</v>
      </c>
      <c r="H40" s="82">
        <f>F40+G40</f>
        <v>-9334460.440000013</v>
      </c>
    </row>
    <row r="41" spans="1:9" s="76" customFormat="1" ht="12.75" customHeight="1">
      <c r="A41" s="79" t="s">
        <v>120</v>
      </c>
      <c r="B41" s="277" t="s">
        <v>282</v>
      </c>
      <c r="C41" s="29">
        <v>2300220.34</v>
      </c>
      <c r="D41" s="29">
        <v>1651135.26</v>
      </c>
      <c r="E41" s="74" t="s">
        <v>136</v>
      </c>
      <c r="F41" s="82">
        <f t="shared" si="2"/>
        <v>649085.0799999998</v>
      </c>
      <c r="H41" s="82">
        <f aca="true" t="shared" si="3" ref="H41:H48">F41+G41</f>
        <v>649085.0799999998</v>
      </c>
      <c r="I41" s="212"/>
    </row>
    <row r="42" spans="1:8" s="76" customFormat="1" ht="12.75" customHeight="1">
      <c r="A42" s="79" t="s">
        <v>8</v>
      </c>
      <c r="B42" s="78"/>
      <c r="C42" s="29">
        <v>0</v>
      </c>
      <c r="D42" s="29">
        <v>0</v>
      </c>
      <c r="E42" s="74" t="s">
        <v>136</v>
      </c>
      <c r="F42" s="82">
        <f t="shared" si="2"/>
        <v>0</v>
      </c>
      <c r="H42" s="82">
        <f t="shared" si="3"/>
        <v>0</v>
      </c>
    </row>
    <row r="43" spans="1:10" s="76" customFormat="1" ht="12.75" customHeight="1">
      <c r="A43" s="79" t="s">
        <v>204</v>
      </c>
      <c r="B43" s="277" t="s">
        <v>284</v>
      </c>
      <c r="C43" s="29">
        <v>37861914.9</v>
      </c>
      <c r="D43" s="29">
        <v>7957496.19</v>
      </c>
      <c r="E43" s="74" t="s">
        <v>136</v>
      </c>
      <c r="F43" s="82">
        <f>C43-D43</f>
        <v>29904418.709999997</v>
      </c>
      <c r="G43" s="220">
        <v>-30080395</v>
      </c>
      <c r="H43" s="82">
        <f t="shared" si="3"/>
        <v>-175976.29000000283</v>
      </c>
      <c r="I43" s="211">
        <v>30080395</v>
      </c>
      <c r="J43" s="76" t="s">
        <v>378</v>
      </c>
    </row>
    <row r="44" spans="1:10" s="76" customFormat="1" ht="12.75" customHeight="1">
      <c r="A44" s="79" t="s">
        <v>18</v>
      </c>
      <c r="B44" s="78"/>
      <c r="C44" s="29">
        <v>2900959.07</v>
      </c>
      <c r="D44" s="29">
        <v>4320635.13</v>
      </c>
      <c r="E44" s="74" t="s">
        <v>136</v>
      </c>
      <c r="F44" s="82">
        <f t="shared" si="2"/>
        <v>-1419676.06</v>
      </c>
      <c r="H44" s="82">
        <f t="shared" si="3"/>
        <v>-1419676.06</v>
      </c>
      <c r="I44" s="219">
        <v>-35155090</v>
      </c>
      <c r="J44" s="76" t="s">
        <v>315</v>
      </c>
    </row>
    <row r="45" spans="1:10" s="76" customFormat="1" ht="12.75" customHeight="1">
      <c r="A45" s="79" t="s">
        <v>326</v>
      </c>
      <c r="B45" s="277" t="s">
        <v>330</v>
      </c>
      <c r="C45" s="54">
        <v>-6156351.43</v>
      </c>
      <c r="D45" s="54">
        <v>-7442768.71</v>
      </c>
      <c r="E45" s="74" t="s">
        <v>136</v>
      </c>
      <c r="F45" s="82">
        <f t="shared" si="2"/>
        <v>1286417.2800000003</v>
      </c>
      <c r="G45" s="293">
        <v>-1286417.28</v>
      </c>
      <c r="H45" s="82">
        <f>F45+G45</f>
        <v>0</v>
      </c>
      <c r="I45" s="294">
        <f>I43+I44</f>
        <v>-5074695</v>
      </c>
      <c r="J45" s="76" t="s">
        <v>263</v>
      </c>
    </row>
    <row r="46" spans="1:8" s="76" customFormat="1" ht="12.75" customHeight="1">
      <c r="A46" s="79" t="s">
        <v>121</v>
      </c>
      <c r="B46" s="277" t="s">
        <v>289</v>
      </c>
      <c r="C46" s="29">
        <v>35782434.02</v>
      </c>
      <c r="D46" s="29">
        <v>35782434.02</v>
      </c>
      <c r="E46" s="74" t="s">
        <v>136</v>
      </c>
      <c r="F46" s="82">
        <f t="shared" si="2"/>
        <v>0</v>
      </c>
      <c r="H46" s="82">
        <f t="shared" si="3"/>
        <v>0</v>
      </c>
    </row>
    <row r="47" spans="1:8" s="76" customFormat="1" ht="12.75" customHeight="1">
      <c r="A47" s="79" t="s">
        <v>14</v>
      </c>
      <c r="B47" s="78"/>
      <c r="C47" s="29">
        <v>3300308.08</v>
      </c>
      <c r="D47" s="29">
        <v>3175899.53</v>
      </c>
      <c r="E47" s="74" t="s">
        <v>136</v>
      </c>
      <c r="F47" s="82">
        <f t="shared" si="2"/>
        <v>124408.55000000028</v>
      </c>
      <c r="H47" s="82">
        <f t="shared" si="3"/>
        <v>124408.55000000028</v>
      </c>
    </row>
    <row r="48" spans="1:8" s="76" customFormat="1" ht="12.75" customHeight="1">
      <c r="A48" s="79" t="s">
        <v>122</v>
      </c>
      <c r="B48" s="277" t="s">
        <v>286</v>
      </c>
      <c r="C48" s="29">
        <v>20265057.49</v>
      </c>
      <c r="D48" s="29">
        <v>28777359.21</v>
      </c>
      <c r="E48" s="74" t="s">
        <v>136</v>
      </c>
      <c r="F48" s="82">
        <f t="shared" si="2"/>
        <v>-8512301.720000003</v>
      </c>
      <c r="H48" s="82">
        <f t="shared" si="3"/>
        <v>-8512301.720000003</v>
      </c>
    </row>
    <row r="49" spans="1:5" s="76" customFormat="1" ht="12.75" customHeight="1">
      <c r="A49" s="79"/>
      <c r="B49" s="78"/>
      <c r="C49" s="29"/>
      <c r="D49" s="29"/>
      <c r="E49" s="74"/>
    </row>
    <row r="50" spans="1:8" s="76" customFormat="1" ht="12.75" customHeight="1">
      <c r="A50" s="81" t="s">
        <v>123</v>
      </c>
      <c r="B50" s="277" t="s">
        <v>290</v>
      </c>
      <c r="C50" s="28">
        <f>C51+C52+C53</f>
        <v>6581678.359999999</v>
      </c>
      <c r="D50" s="28">
        <f>D51+D52+D53</f>
        <v>12202055.6</v>
      </c>
      <c r="E50" s="74" t="s">
        <v>137</v>
      </c>
      <c r="F50" s="82">
        <f t="shared" si="2"/>
        <v>-5620377.24</v>
      </c>
      <c r="G50" s="219">
        <f>SUM(G51:G53)</f>
        <v>6288102.05</v>
      </c>
      <c r="H50" s="82">
        <f>F50+G50</f>
        <v>667724.8099999996</v>
      </c>
    </row>
    <row r="51" spans="1:7" s="76" customFormat="1" ht="12.75" customHeight="1">
      <c r="A51" s="79" t="s">
        <v>37</v>
      </c>
      <c r="B51" s="78"/>
      <c r="C51" s="29">
        <v>3745812.53</v>
      </c>
      <c r="D51" s="29">
        <v>4241113.01</v>
      </c>
      <c r="E51" s="74"/>
      <c r="G51" s="290">
        <f>819180.45</f>
        <v>819180.45</v>
      </c>
    </row>
    <row r="52" spans="1:7" s="84" customFormat="1" ht="12.75" customHeight="1">
      <c r="A52" s="79" t="s">
        <v>46</v>
      </c>
      <c r="B52" s="277" t="s">
        <v>329</v>
      </c>
      <c r="C52" s="29">
        <v>1953720.31</v>
      </c>
      <c r="D52" s="29">
        <v>7422641.91</v>
      </c>
      <c r="E52" s="83"/>
      <c r="G52" s="291">
        <v>5468921.6</v>
      </c>
    </row>
    <row r="53" spans="1:5" s="84" customFormat="1" ht="12.75" customHeight="1">
      <c r="A53" s="79" t="s">
        <v>47</v>
      </c>
      <c r="B53" s="78"/>
      <c r="C53" s="103">
        <v>882145.52</v>
      </c>
      <c r="D53" s="103">
        <v>538300.68</v>
      </c>
      <c r="E53" s="83"/>
    </row>
    <row r="54" spans="1:5" s="76" customFormat="1" ht="12.75" customHeight="1">
      <c r="A54" s="79"/>
      <c r="B54" s="78"/>
      <c r="C54" s="29"/>
      <c r="D54" s="29"/>
      <c r="E54" s="74"/>
    </row>
    <row r="55" spans="1:8" s="76" customFormat="1" ht="12.75" customHeight="1">
      <c r="A55" s="81" t="s">
        <v>114</v>
      </c>
      <c r="B55" s="277" t="s">
        <v>291</v>
      </c>
      <c r="C55" s="28">
        <f>C66+C65+C64+C63+C62+C61+C60+C59+C58+C57+C56</f>
        <v>342421594.29</v>
      </c>
      <c r="D55" s="28">
        <f>D66+D65+D64+D63+D62+D61+D60+D59+D58+D57+D56</f>
        <v>339695208.81</v>
      </c>
      <c r="E55" s="74" t="s">
        <v>137</v>
      </c>
      <c r="F55" s="82">
        <f>C55-D55</f>
        <v>2726385.480000019</v>
      </c>
      <c r="G55" s="220">
        <f>10012037.73+1520004.88+67899.61+336209.4+74935.54+10834.07+121333.58+33627.66+10829116.04+1433.66+17.95+93467.83+44635.9+10202.88+1868.76+16627.28+13107.46</f>
        <v>23187360.229999997</v>
      </c>
      <c r="H55" s="82">
        <f>F55+G55</f>
        <v>25913745.710000016</v>
      </c>
    </row>
    <row r="56" spans="1:5" s="84" customFormat="1" ht="12.75" customHeight="1">
      <c r="A56" s="79" t="s">
        <v>22</v>
      </c>
      <c r="B56" s="78"/>
      <c r="C56" s="244">
        <f>124425301.36+2505856.68+23040099.79+5737392.57+1760660.41</f>
        <v>157469310.81</v>
      </c>
      <c r="D56" s="29">
        <v>149024979.47</v>
      </c>
      <c r="E56" s="83"/>
    </row>
    <row r="57" spans="1:5" s="84" customFormat="1" ht="12.75" customHeight="1">
      <c r="A57" s="79" t="s">
        <v>23</v>
      </c>
      <c r="B57" s="78"/>
      <c r="C57" s="244">
        <f>20352490.02+261735.42+2306671.14+2168042.77+663929.46</f>
        <v>25752868.810000002</v>
      </c>
      <c r="D57" s="29">
        <v>22280218.77</v>
      </c>
      <c r="E57" s="83"/>
    </row>
    <row r="58" spans="1:5" s="76" customFormat="1" ht="12.75" customHeight="1">
      <c r="A58" s="79" t="s">
        <v>24</v>
      </c>
      <c r="B58" s="78"/>
      <c r="C58" s="244">
        <f>182562981.35+771069.57+14100178.41+7328392.05+1975750.95</f>
        <v>206738372.32999998</v>
      </c>
      <c r="D58" s="29">
        <v>194615771.74</v>
      </c>
      <c r="E58" s="74"/>
    </row>
    <row r="59" spans="1:7" s="76" customFormat="1" ht="12.75" customHeight="1">
      <c r="A59" s="79" t="s">
        <v>25</v>
      </c>
      <c r="B59" s="78"/>
      <c r="C59" s="244">
        <f>3997225.86+85125.01</f>
        <v>4082350.8699999996</v>
      </c>
      <c r="D59" s="29">
        <v>4030844.82</v>
      </c>
      <c r="E59" s="74"/>
      <c r="G59" s="101"/>
    </row>
    <row r="60" spans="1:9" s="84" customFormat="1" ht="12.75" customHeight="1">
      <c r="A60" s="79" t="s">
        <v>27</v>
      </c>
      <c r="B60" s="78"/>
      <c r="C60" s="244">
        <v>39750781.53</v>
      </c>
      <c r="D60" s="29">
        <v>33880577.57</v>
      </c>
      <c r="E60" s="83"/>
      <c r="G60" s="292">
        <f>-G52</f>
        <v>-5468921.6</v>
      </c>
      <c r="H60" s="102">
        <f>G60</f>
        <v>-5468921.6</v>
      </c>
      <c r="I60" s="76"/>
    </row>
    <row r="61" spans="1:5" s="84" customFormat="1" ht="12.75" customHeight="1">
      <c r="A61" s="79" t="s">
        <v>28</v>
      </c>
      <c r="B61" s="78"/>
      <c r="C61" s="244">
        <f>5849204.76+14929.15+15397.75+399.63</f>
        <v>5879931.29</v>
      </c>
      <c r="D61" s="29">
        <v>5589290.61</v>
      </c>
      <c r="E61" s="83"/>
    </row>
    <row r="62" spans="1:5" s="76" customFormat="1" ht="12.75" customHeight="1">
      <c r="A62" s="79" t="s">
        <v>29</v>
      </c>
      <c r="B62" s="78"/>
      <c r="C62" s="244">
        <v>15688083.33</v>
      </c>
      <c r="D62" s="29">
        <v>2316808.96</v>
      </c>
      <c r="E62" s="74"/>
    </row>
    <row r="63" spans="1:7" s="76" customFormat="1" ht="12.75" customHeight="1">
      <c r="A63" s="79" t="s">
        <v>30</v>
      </c>
      <c r="B63" s="78"/>
      <c r="C63" s="244">
        <f>46351364.18+32052.34+1459089.57+4502088.13</f>
        <v>52344594.220000006</v>
      </c>
      <c r="D63" s="29">
        <v>46857041.76</v>
      </c>
      <c r="E63" s="74"/>
      <c r="G63" s="101"/>
    </row>
    <row r="64" spans="1:7" s="76" customFormat="1" ht="12.75" customHeight="1">
      <c r="A64" s="79" t="s">
        <v>31</v>
      </c>
      <c r="B64" s="78"/>
      <c r="C64" s="245">
        <f>-(27058132.02+2337340.62+6785630.39+74434653.37+771069.57+10954608.24+2246744.32+85125.01+19207411.41+32052.34+1337798.3+14815936.44+261735.42+2379021.13+4627792.38+14929.15+15397.75+399.63)</f>
        <v>-167365777.48999998</v>
      </c>
      <c r="D64" s="55">
        <v>-121008302.25</v>
      </c>
      <c r="E64" s="74"/>
      <c r="F64" s="212"/>
      <c r="G64" s="212"/>
    </row>
    <row r="65" spans="1:5" s="76" customFormat="1" ht="12.75" customHeight="1">
      <c r="A65" s="79" t="s">
        <v>50</v>
      </c>
      <c r="B65" s="78"/>
      <c r="C65" s="245">
        <v>2081078.59</v>
      </c>
      <c r="D65" s="55">
        <v>2107977.36</v>
      </c>
      <c r="E65" s="74"/>
    </row>
    <row r="66" spans="1:5" s="76" customFormat="1" ht="12.75" customHeight="1">
      <c r="A66" s="79"/>
      <c r="B66" s="78"/>
      <c r="C66" s="244"/>
      <c r="D66" s="29"/>
      <c r="E66" s="74"/>
    </row>
    <row r="67" spans="1:8" s="76" customFormat="1" ht="12.75" customHeight="1">
      <c r="A67" s="81" t="s">
        <v>43</v>
      </c>
      <c r="B67" s="277" t="s">
        <v>292</v>
      </c>
      <c r="C67" s="28">
        <f>C68+C69</f>
        <v>1928506.8900000001</v>
      </c>
      <c r="D67" s="28">
        <f>D68+D69</f>
        <v>2139666</v>
      </c>
      <c r="E67" s="74" t="s">
        <v>137</v>
      </c>
      <c r="F67" s="82">
        <f>C67-D67</f>
        <v>-211159.10999999987</v>
      </c>
      <c r="G67" s="212">
        <f>D69-C69</f>
        <v>343964.8799999999</v>
      </c>
      <c r="H67" s="82">
        <f>F67+G67</f>
        <v>132805.77000000002</v>
      </c>
    </row>
    <row r="68" spans="1:5" s="76" customFormat="1" ht="12.75" customHeight="1">
      <c r="A68" s="79" t="s">
        <v>113</v>
      </c>
      <c r="B68" s="78"/>
      <c r="C68" s="29">
        <f>3473127.31+19469</f>
        <v>3492596.31</v>
      </c>
      <c r="D68" s="29">
        <v>3359790.54</v>
      </c>
      <c r="E68" s="74"/>
    </row>
    <row r="69" spans="1:7" s="76" customFormat="1" ht="12.75" customHeight="1">
      <c r="A69" s="79" t="s">
        <v>51</v>
      </c>
      <c r="B69" s="78"/>
      <c r="C69" s="55">
        <f>-(1550460.42+13629)</f>
        <v>-1564089.42</v>
      </c>
      <c r="D69" s="55">
        <v>-1220124.54</v>
      </c>
      <c r="E69" s="74"/>
      <c r="G69" s="101"/>
    </row>
    <row r="70" spans="1:5" s="76" customFormat="1" ht="15" customHeight="1">
      <c r="A70" s="85"/>
      <c r="B70" s="78"/>
      <c r="C70" s="56"/>
      <c r="D70" s="56"/>
      <c r="E70" s="74"/>
    </row>
    <row r="71" spans="1:5" s="76" customFormat="1" ht="15" customHeight="1">
      <c r="A71" s="72" t="s">
        <v>32</v>
      </c>
      <c r="B71" s="73"/>
      <c r="C71" s="57">
        <f>C7+C38</f>
        <v>1229879021</v>
      </c>
      <c r="D71" s="57">
        <f>D7+D38</f>
        <v>1110109293.63</v>
      </c>
      <c r="E71" s="74"/>
    </row>
    <row r="72" spans="1:5" s="76" customFormat="1" ht="45" customHeight="1">
      <c r="A72" s="86"/>
      <c r="B72" s="78"/>
      <c r="C72" s="58"/>
      <c r="D72" s="58"/>
      <c r="E72" s="74"/>
    </row>
    <row r="73" spans="1:5" s="76" customFormat="1" ht="15" customHeight="1">
      <c r="A73" s="86"/>
      <c r="B73" s="78"/>
      <c r="C73" s="58"/>
      <c r="D73" s="58"/>
      <c r="E73" s="74"/>
    </row>
    <row r="74" ht="12.75"/>
    <row r="75" spans="1:4" ht="12.75">
      <c r="A75" s="319"/>
      <c r="B75" s="319"/>
      <c r="C75" s="319"/>
      <c r="D75" s="319"/>
    </row>
    <row r="76" spans="1:4" ht="12.75">
      <c r="A76" s="319"/>
      <c r="B76" s="319"/>
      <c r="C76" s="319"/>
      <c r="D76" s="319"/>
    </row>
    <row r="77" spans="1:4" ht="12.75">
      <c r="A77" s="319"/>
      <c r="B77" s="319"/>
      <c r="C77" s="319"/>
      <c r="D77" s="319"/>
    </row>
    <row r="78" ht="6.75" customHeight="1"/>
    <row r="79" ht="12.75"/>
    <row r="80" spans="1:4" ht="15" customHeight="1">
      <c r="A80" s="321" t="str">
        <f>A1</f>
        <v>COOPERATIVA AGROINDUSTRIAL</v>
      </c>
      <c r="B80" s="321"/>
      <c r="C80" s="321"/>
      <c r="D80" s="321"/>
    </row>
    <row r="81" spans="1:4" ht="15" customHeight="1">
      <c r="A81" s="322" t="str">
        <f>A2</f>
        <v>CNPJ  00.000.000/0001-00</v>
      </c>
      <c r="B81" s="322"/>
      <c r="C81" s="322"/>
      <c r="D81" s="322"/>
    </row>
    <row r="82" spans="1:4" ht="15" customHeight="1">
      <c r="A82" s="320" t="s">
        <v>308</v>
      </c>
      <c r="B82" s="320"/>
      <c r="C82" s="320"/>
      <c r="D82" s="320"/>
    </row>
    <row r="83" spans="1:4" ht="15" customHeight="1">
      <c r="A83" s="320" t="s">
        <v>48</v>
      </c>
      <c r="B83" s="320"/>
      <c r="C83" s="320"/>
      <c r="D83" s="320"/>
    </row>
    <row r="84" ht="15" customHeight="1"/>
    <row r="85" spans="1:4" ht="15">
      <c r="A85" s="72" t="s">
        <v>45</v>
      </c>
      <c r="B85" s="73" t="s">
        <v>112</v>
      </c>
      <c r="C85" s="264">
        <v>43100</v>
      </c>
      <c r="D85" s="264">
        <v>42735</v>
      </c>
    </row>
    <row r="86" spans="1:4" ht="15">
      <c r="A86" s="77" t="s">
        <v>35</v>
      </c>
      <c r="B86" s="78"/>
      <c r="C86" s="60">
        <f>C100+C88</f>
        <v>698564225.78</v>
      </c>
      <c r="D86" s="60">
        <f>D100+D88</f>
        <v>664109350.6399999</v>
      </c>
    </row>
    <row r="87" spans="1:4" ht="14.25">
      <c r="A87" s="79"/>
      <c r="B87" s="78"/>
      <c r="C87" s="29"/>
      <c r="D87" s="29"/>
    </row>
    <row r="88" spans="1:4" ht="15">
      <c r="A88" s="81" t="s">
        <v>178</v>
      </c>
      <c r="B88" s="78"/>
      <c r="C88" s="28">
        <f>SUM(C89:C98)</f>
        <v>386412890.63000005</v>
      </c>
      <c r="D88" s="28">
        <f>SUM(D89:D98)</f>
        <v>370786112.1699999</v>
      </c>
    </row>
    <row r="89" spans="1:8" ht="14.25">
      <c r="A89" s="79" t="s">
        <v>244</v>
      </c>
      <c r="B89" s="277" t="s">
        <v>293</v>
      </c>
      <c r="C89" s="29">
        <v>188706028.15</v>
      </c>
      <c r="D89" s="29">
        <v>113701615.58</v>
      </c>
      <c r="E89" s="74" t="s">
        <v>136</v>
      </c>
      <c r="F89" s="82">
        <f aca="true" t="shared" si="4" ref="F89:F100">C89-D89</f>
        <v>75004412.57000001</v>
      </c>
      <c r="G89" s="76"/>
      <c r="H89" s="82">
        <f aca="true" t="shared" si="5" ref="H89:H98">F89+G89</f>
        <v>75004412.57000001</v>
      </c>
    </row>
    <row r="90" spans="1:8" ht="14.25">
      <c r="A90" s="79" t="s">
        <v>3</v>
      </c>
      <c r="B90" s="78"/>
      <c r="C90" s="29">
        <v>63339323.27</v>
      </c>
      <c r="D90" s="29">
        <v>94869233.48</v>
      </c>
      <c r="E90" s="74" t="s">
        <v>136</v>
      </c>
      <c r="F90" s="82">
        <f t="shared" si="4"/>
        <v>-31529910.21</v>
      </c>
      <c r="G90" s="76"/>
      <c r="H90" s="82">
        <f t="shared" si="5"/>
        <v>-31529910.21</v>
      </c>
    </row>
    <row r="91" spans="1:8" ht="14.25">
      <c r="A91" s="79" t="s">
        <v>124</v>
      </c>
      <c r="B91" s="78"/>
      <c r="C91" s="29">
        <v>27485491.29</v>
      </c>
      <c r="D91" s="29">
        <v>44330787.48</v>
      </c>
      <c r="E91" s="74" t="s">
        <v>136</v>
      </c>
      <c r="F91" s="82">
        <f t="shared" si="4"/>
        <v>-16845296.189999998</v>
      </c>
      <c r="G91" s="76"/>
      <c r="H91" s="82">
        <f t="shared" si="5"/>
        <v>-16845296.189999998</v>
      </c>
    </row>
    <row r="92" spans="1:8" ht="14.25">
      <c r="A92" s="79" t="s">
        <v>5</v>
      </c>
      <c r="B92" s="277" t="s">
        <v>294</v>
      </c>
      <c r="C92" s="29">
        <f>82601067.75-C98</f>
        <v>82285262.87</v>
      </c>
      <c r="D92" s="29">
        <v>96052887.97</v>
      </c>
      <c r="E92" s="74" t="s">
        <v>136</v>
      </c>
      <c r="F92" s="82">
        <f t="shared" si="4"/>
        <v>-13767625.099999994</v>
      </c>
      <c r="G92" s="76"/>
      <c r="H92" s="82">
        <f t="shared" si="5"/>
        <v>-13767625.099999994</v>
      </c>
    </row>
    <row r="93" spans="1:8" ht="14.25">
      <c r="A93" s="79" t="s">
        <v>175</v>
      </c>
      <c r="B93" s="78"/>
      <c r="C93" s="29">
        <v>10433567.08</v>
      </c>
      <c r="D93" s="29">
        <v>8847651.15</v>
      </c>
      <c r="E93" s="74" t="s">
        <v>136</v>
      </c>
      <c r="F93" s="82">
        <f t="shared" si="4"/>
        <v>1585915.9299999997</v>
      </c>
      <c r="G93" s="76"/>
      <c r="H93" s="82">
        <f t="shared" si="5"/>
        <v>1585915.9299999997</v>
      </c>
    </row>
    <row r="94" spans="1:8" ht="14.25">
      <c r="A94" s="79" t="s">
        <v>6</v>
      </c>
      <c r="B94" s="78"/>
      <c r="C94" s="29">
        <v>5416611.29</v>
      </c>
      <c r="D94" s="29">
        <v>6280578.28</v>
      </c>
      <c r="E94" s="74" t="s">
        <v>136</v>
      </c>
      <c r="F94" s="82">
        <f t="shared" si="4"/>
        <v>-863966.9900000002</v>
      </c>
      <c r="G94" s="76"/>
      <c r="H94" s="82">
        <f t="shared" si="5"/>
        <v>-863966.9900000002</v>
      </c>
    </row>
    <row r="95" spans="1:8" ht="14.25">
      <c r="A95" s="79" t="s">
        <v>7</v>
      </c>
      <c r="B95" s="78"/>
      <c r="C95" s="29">
        <v>6600240.43</v>
      </c>
      <c r="D95" s="29">
        <v>5875833.13</v>
      </c>
      <c r="E95" s="74" t="s">
        <v>136</v>
      </c>
      <c r="F95" s="82">
        <f t="shared" si="4"/>
        <v>724407.2999999998</v>
      </c>
      <c r="G95" s="76"/>
      <c r="H95" s="82">
        <f t="shared" si="5"/>
        <v>724407.2999999998</v>
      </c>
    </row>
    <row r="96" spans="1:8" ht="14.25">
      <c r="A96" s="79" t="s">
        <v>9</v>
      </c>
      <c r="B96" s="78"/>
      <c r="C96" s="29">
        <v>1753815.9</v>
      </c>
      <c r="D96" s="29">
        <v>785571.71</v>
      </c>
      <c r="E96" s="74" t="s">
        <v>136</v>
      </c>
      <c r="F96" s="82">
        <f t="shared" si="4"/>
        <v>968244.19</v>
      </c>
      <c r="G96" s="76"/>
      <c r="H96" s="82">
        <f t="shared" si="5"/>
        <v>968244.19</v>
      </c>
    </row>
    <row r="97" spans="1:8" ht="14.25">
      <c r="A97" s="79" t="s">
        <v>10</v>
      </c>
      <c r="B97" s="78"/>
      <c r="C97" s="29">
        <v>76745.47</v>
      </c>
      <c r="D97" s="29">
        <v>41953.39</v>
      </c>
      <c r="E97" s="74" t="s">
        <v>136</v>
      </c>
      <c r="F97" s="82">
        <f t="shared" si="4"/>
        <v>34792.08</v>
      </c>
      <c r="G97" s="76"/>
      <c r="H97" s="82">
        <f t="shared" si="5"/>
        <v>34792.08</v>
      </c>
    </row>
    <row r="98" spans="1:8" ht="14.25">
      <c r="A98" s="79" t="s">
        <v>125</v>
      </c>
      <c r="B98" s="78"/>
      <c r="C98" s="29">
        <v>315804.88</v>
      </c>
      <c r="D98" s="29">
        <v>0</v>
      </c>
      <c r="E98" s="74" t="s">
        <v>136</v>
      </c>
      <c r="F98" s="82">
        <f t="shared" si="4"/>
        <v>315804.88</v>
      </c>
      <c r="G98" s="76"/>
      <c r="H98" s="82">
        <f t="shared" si="5"/>
        <v>315804.88</v>
      </c>
    </row>
    <row r="99" spans="1:8" ht="15">
      <c r="A99" s="81"/>
      <c r="B99" s="78"/>
      <c r="C99" s="28"/>
      <c r="D99" s="28"/>
      <c r="F99" s="82"/>
      <c r="G99" s="76"/>
      <c r="H99" s="82"/>
    </row>
    <row r="100" spans="1:8" ht="15">
      <c r="A100" s="81" t="s">
        <v>179</v>
      </c>
      <c r="B100" s="277" t="s">
        <v>295</v>
      </c>
      <c r="C100" s="28">
        <f>SUM(C101:C104)</f>
        <v>312151335.15</v>
      </c>
      <c r="D100" s="28">
        <f>SUM(D101:D104)</f>
        <v>293323238.47</v>
      </c>
      <c r="E100" s="74" t="s">
        <v>140</v>
      </c>
      <c r="F100" s="82">
        <f t="shared" si="4"/>
        <v>18828096.679999948</v>
      </c>
      <c r="G100" s="82">
        <f>-DFC!C12</f>
        <v>-6232370.36</v>
      </c>
      <c r="H100" s="82">
        <f>F100+G100</f>
        <v>12595726.319999948</v>
      </c>
    </row>
    <row r="101" spans="1:8" ht="14.25">
      <c r="A101" s="79" t="s">
        <v>12</v>
      </c>
      <c r="B101" s="78"/>
      <c r="C101" s="29">
        <v>77617637.63</v>
      </c>
      <c r="D101" s="29">
        <v>135903090.62</v>
      </c>
      <c r="F101" s="82"/>
      <c r="G101" s="76"/>
      <c r="H101" s="82"/>
    </row>
    <row r="102" spans="1:8" ht="14.25">
      <c r="A102" s="79" t="s">
        <v>197</v>
      </c>
      <c r="B102" s="78"/>
      <c r="C102" s="29">
        <v>195976529.52</v>
      </c>
      <c r="D102" s="29">
        <v>124543821.34</v>
      </c>
      <c r="F102" s="82"/>
      <c r="G102" s="76"/>
      <c r="H102" s="82"/>
    </row>
    <row r="103" spans="1:8" ht="15">
      <c r="A103" s="81" t="s">
        <v>15</v>
      </c>
      <c r="B103" s="78"/>
      <c r="C103" s="29">
        <v>25025181.38</v>
      </c>
      <c r="D103" s="29">
        <v>27621132.4</v>
      </c>
      <c r="F103" s="82"/>
      <c r="G103" s="76"/>
      <c r="H103" s="82"/>
    </row>
    <row r="104" spans="1:8" ht="14.25">
      <c r="A104" s="79" t="s">
        <v>231</v>
      </c>
      <c r="B104" s="78"/>
      <c r="C104" s="103">
        <v>13531986.62</v>
      </c>
      <c r="D104" s="103">
        <v>5255194.11</v>
      </c>
      <c r="F104" s="82"/>
      <c r="G104" s="76"/>
      <c r="H104" s="82"/>
    </row>
    <row r="105" spans="1:4" ht="9" customHeight="1">
      <c r="A105" s="79"/>
      <c r="B105" s="78"/>
      <c r="C105" s="29"/>
      <c r="D105" s="29"/>
    </row>
    <row r="106" spans="1:4" ht="9" customHeight="1">
      <c r="A106" s="81"/>
      <c r="B106" s="78"/>
      <c r="C106" s="28"/>
      <c r="D106" s="28"/>
    </row>
    <row r="107" spans="1:4" ht="15">
      <c r="A107" s="81" t="s">
        <v>33</v>
      </c>
      <c r="B107" s="78"/>
      <c r="C107" s="28">
        <f>C109+C115</f>
        <v>206658634.97</v>
      </c>
      <c r="D107" s="28">
        <f>D109+D115</f>
        <v>206712415.72</v>
      </c>
    </row>
    <row r="108" spans="1:4" ht="14.25">
      <c r="A108" s="79"/>
      <c r="B108" s="78"/>
      <c r="C108" s="29"/>
      <c r="D108" s="29"/>
    </row>
    <row r="109" spans="1:9" ht="15">
      <c r="A109" s="81" t="s">
        <v>180</v>
      </c>
      <c r="B109" s="277" t="s">
        <v>295</v>
      </c>
      <c r="C109" s="28">
        <f>SUM(C110:C113)</f>
        <v>111945656.91999999</v>
      </c>
      <c r="D109" s="28">
        <f>SUM(D110:D113)</f>
        <v>109717862.74</v>
      </c>
      <c r="E109" s="74" t="s">
        <v>140</v>
      </c>
      <c r="F109" s="82">
        <f>C109-D109</f>
        <v>2227794.1799999923</v>
      </c>
      <c r="G109" s="76"/>
      <c r="H109" s="82">
        <f>F109+G109</f>
        <v>2227794.1799999923</v>
      </c>
      <c r="I109" s="59">
        <f>H109+H100</f>
        <v>14823520.49999994</v>
      </c>
    </row>
    <row r="110" spans="1:8" ht="14.25">
      <c r="A110" s="79" t="s">
        <v>17</v>
      </c>
      <c r="B110" s="78"/>
      <c r="C110" s="29">
        <v>77739774.57</v>
      </c>
      <c r="D110" s="29">
        <v>95277503.42</v>
      </c>
      <c r="F110" s="82"/>
      <c r="G110" s="76"/>
      <c r="H110" s="82"/>
    </row>
    <row r="111" spans="1:8" ht="14.25" hidden="1">
      <c r="A111" s="79" t="s">
        <v>16</v>
      </c>
      <c r="B111" s="78"/>
      <c r="C111" s="103">
        <v>0</v>
      </c>
      <c r="D111" s="103">
        <v>0</v>
      </c>
      <c r="F111" s="82"/>
      <c r="G111" s="76"/>
      <c r="H111" s="82"/>
    </row>
    <row r="112" spans="1:8" ht="14.25">
      <c r="A112" s="79" t="s">
        <v>197</v>
      </c>
      <c r="B112" s="78"/>
      <c r="C112" s="29">
        <v>0</v>
      </c>
      <c r="D112" s="29">
        <v>7112773.11</v>
      </c>
      <c r="F112" s="82"/>
      <c r="G112" s="76"/>
      <c r="H112" s="82"/>
    </row>
    <row r="113" spans="1:8" ht="14.25">
      <c r="A113" s="79" t="s">
        <v>199</v>
      </c>
      <c r="B113" s="78"/>
      <c r="C113" s="29">
        <v>34205882.35</v>
      </c>
      <c r="D113" s="29">
        <v>7327586.21</v>
      </c>
      <c r="F113" s="82"/>
      <c r="G113" s="76"/>
      <c r="H113" s="82"/>
    </row>
    <row r="114" spans="1:4" ht="14.25">
      <c r="A114" s="79"/>
      <c r="B114" s="78"/>
      <c r="C114" s="29"/>
      <c r="D114" s="29"/>
    </row>
    <row r="115" spans="1:8" ht="15">
      <c r="A115" s="81" t="s">
        <v>181</v>
      </c>
      <c r="B115" s="78"/>
      <c r="C115" s="28">
        <f>SUM(C116:C121)</f>
        <v>94712978.05000001</v>
      </c>
      <c r="D115" s="28">
        <f>SUM(D116:D121)</f>
        <v>96994552.98</v>
      </c>
      <c r="E115" s="74" t="s">
        <v>136</v>
      </c>
      <c r="F115" s="82">
        <f>C115-D115</f>
        <v>-2281574.9299999923</v>
      </c>
      <c r="G115" s="82">
        <f>SUM(G116:G121)</f>
        <v>-4305486.350000001</v>
      </c>
      <c r="H115" s="82">
        <f>F115+G115</f>
        <v>-6587061.279999993</v>
      </c>
    </row>
    <row r="116" spans="1:8" ht="14.25">
      <c r="A116" s="79" t="s">
        <v>211</v>
      </c>
      <c r="B116" s="277" t="s">
        <v>294</v>
      </c>
      <c r="C116" s="29">
        <v>41482279.65</v>
      </c>
      <c r="D116" s="29">
        <v>49137492.65</v>
      </c>
      <c r="E116" s="74"/>
      <c r="F116" s="82"/>
      <c r="G116" s="76"/>
      <c r="H116" s="82"/>
    </row>
    <row r="117" spans="1:8" ht="14.25">
      <c r="A117" s="79" t="s">
        <v>265</v>
      </c>
      <c r="B117" s="277" t="s">
        <v>296</v>
      </c>
      <c r="C117" s="29">
        <v>35782434.02</v>
      </c>
      <c r="D117" s="29">
        <v>35782434.02</v>
      </c>
      <c r="E117" s="74"/>
      <c r="F117" s="82"/>
      <c r="G117" s="76"/>
      <c r="H117" s="82"/>
    </row>
    <row r="118" spans="1:8" ht="14.25">
      <c r="A118" s="79" t="s">
        <v>126</v>
      </c>
      <c r="B118" s="277" t="s">
        <v>297</v>
      </c>
      <c r="C118" s="29">
        <v>11164906.84</v>
      </c>
      <c r="D118" s="29">
        <v>6074782.9</v>
      </c>
      <c r="E118" s="74"/>
      <c r="F118" s="82"/>
      <c r="G118" s="219">
        <v>-5090123.94</v>
      </c>
      <c r="H118" s="82">
        <f>D118-C118</f>
        <v>-5090123.9399999995</v>
      </c>
    </row>
    <row r="119" spans="1:8" ht="14.25">
      <c r="A119" s="79" t="s">
        <v>192</v>
      </c>
      <c r="B119" s="78"/>
      <c r="C119" s="29">
        <v>1941286.73</v>
      </c>
      <c r="D119" s="29">
        <v>1906743.87</v>
      </c>
      <c r="E119" s="74"/>
      <c r="F119" s="82"/>
      <c r="G119" s="220">
        <v>-34542.86</v>
      </c>
      <c r="H119" s="82"/>
    </row>
    <row r="120" spans="1:8" ht="14.25">
      <c r="A120" s="79" t="s">
        <v>212</v>
      </c>
      <c r="B120" s="78"/>
      <c r="C120" s="29">
        <v>1065928.13</v>
      </c>
      <c r="D120" s="29">
        <v>1071512.91</v>
      </c>
      <c r="E120" s="74"/>
      <c r="F120" s="82"/>
      <c r="G120" s="101">
        <v>0</v>
      </c>
      <c r="H120" s="82"/>
    </row>
    <row r="121" spans="1:8" ht="14.25">
      <c r="A121" s="79" t="s">
        <v>49</v>
      </c>
      <c r="B121" s="78"/>
      <c r="C121" s="29">
        <v>3276142.68</v>
      </c>
      <c r="D121" s="29">
        <v>3021586.63</v>
      </c>
      <c r="E121" s="74"/>
      <c r="F121" s="82"/>
      <c r="G121" s="217">
        <v>819180.45</v>
      </c>
      <c r="H121" s="82"/>
    </row>
    <row r="122" spans="1:4" ht="9" customHeight="1">
      <c r="A122" s="81"/>
      <c r="B122" s="78"/>
      <c r="C122" s="28"/>
      <c r="D122" s="28"/>
    </row>
    <row r="123" spans="1:4" ht="9" customHeight="1">
      <c r="A123" s="79"/>
      <c r="B123" s="78"/>
      <c r="C123" s="29"/>
      <c r="D123" s="29"/>
    </row>
    <row r="124" spans="1:4" ht="15">
      <c r="A124" s="81" t="s">
        <v>36</v>
      </c>
      <c r="B124" s="78"/>
      <c r="C124" s="28">
        <f>C126+C129+C135+C139+C142+C146</f>
        <v>324656160.25000006</v>
      </c>
      <c r="D124" s="28">
        <f>D126+D129+D135+D139+D142+D146</f>
        <v>239287527.26999998</v>
      </c>
    </row>
    <row r="125" spans="1:4" ht="14.25">
      <c r="A125" s="79"/>
      <c r="B125" s="78"/>
      <c r="C125" s="29"/>
      <c r="D125" s="29"/>
    </row>
    <row r="126" spans="1:4" ht="15">
      <c r="A126" s="81" t="s">
        <v>19</v>
      </c>
      <c r="B126" s="277" t="s">
        <v>298</v>
      </c>
      <c r="C126" s="28">
        <f>C127</f>
        <v>71928694.87</v>
      </c>
      <c r="D126" s="28">
        <f>D127</f>
        <v>35889615.49</v>
      </c>
    </row>
    <row r="127" spans="1:4" ht="14.25">
      <c r="A127" s="79" t="s">
        <v>128</v>
      </c>
      <c r="B127" s="78"/>
      <c r="C127" s="29">
        <v>71928694.87</v>
      </c>
      <c r="D127" s="29">
        <v>35889615.49</v>
      </c>
    </row>
    <row r="128" spans="1:4" ht="14.25">
      <c r="A128" s="79"/>
      <c r="B128" s="78"/>
      <c r="C128" s="29"/>
      <c r="D128" s="29"/>
    </row>
    <row r="129" spans="1:4" ht="15">
      <c r="A129" s="81" t="s">
        <v>20</v>
      </c>
      <c r="B129" s="78"/>
      <c r="C129" s="28">
        <f>SUM(C130:C133)</f>
        <v>53754971.99</v>
      </c>
      <c r="D129" s="28">
        <f>SUM(D130:D133)</f>
        <v>36775051.36</v>
      </c>
    </row>
    <row r="130" spans="1:4" ht="14.25">
      <c r="A130" s="237" t="s">
        <v>245</v>
      </c>
      <c r="B130" s="277" t="s">
        <v>306</v>
      </c>
      <c r="C130" s="29">
        <v>12175134.68</v>
      </c>
      <c r="D130" s="29">
        <v>10680026.25</v>
      </c>
    </row>
    <row r="131" spans="1:4" ht="14.25">
      <c r="A131" s="89" t="s">
        <v>129</v>
      </c>
      <c r="B131" s="277" t="s">
        <v>303</v>
      </c>
      <c r="C131" s="29">
        <v>34368100.49</v>
      </c>
      <c r="D131" s="29">
        <v>19896581.39</v>
      </c>
    </row>
    <row r="132" spans="1:4" ht="14.25">
      <c r="A132" s="89" t="s">
        <v>130</v>
      </c>
      <c r="B132" s="277" t="s">
        <v>304</v>
      </c>
      <c r="C132" s="29">
        <v>5932272.04</v>
      </c>
      <c r="D132" s="29">
        <v>5184863.51</v>
      </c>
    </row>
    <row r="133" spans="1:4" ht="14.25">
      <c r="A133" s="89" t="s">
        <v>193</v>
      </c>
      <c r="B133" s="277" t="s">
        <v>305</v>
      </c>
      <c r="C133" s="29">
        <v>1279464.78</v>
      </c>
      <c r="D133" s="29">
        <v>1013580.21</v>
      </c>
    </row>
    <row r="134" spans="1:4" ht="14.25">
      <c r="A134" s="79"/>
      <c r="B134" s="78"/>
      <c r="C134" s="29"/>
      <c r="D134" s="29"/>
    </row>
    <row r="135" spans="1:4" ht="15">
      <c r="A135" s="81" t="s">
        <v>21</v>
      </c>
      <c r="B135" s="78"/>
      <c r="C135" s="28">
        <f>SUM(C136:C137)</f>
        <v>150181954.48</v>
      </c>
      <c r="D135" s="28">
        <f>SUM(D136:D137)</f>
        <v>117710344.73</v>
      </c>
    </row>
    <row r="136" spans="1:4" ht="14.25">
      <c r="A136" s="79" t="s">
        <v>379</v>
      </c>
      <c r="B136" s="277" t="s">
        <v>299</v>
      </c>
      <c r="C136" s="29">
        <v>138558044.04</v>
      </c>
      <c r="D136" s="29">
        <v>106334487.51</v>
      </c>
    </row>
    <row r="137" spans="1:4" ht="14.25">
      <c r="A137" s="79" t="s">
        <v>207</v>
      </c>
      <c r="B137" s="277" t="s">
        <v>300</v>
      </c>
      <c r="C137" s="29">
        <v>11623910.44</v>
      </c>
      <c r="D137" s="29">
        <v>11375857.22</v>
      </c>
    </row>
    <row r="138" spans="1:4" ht="15">
      <c r="A138" s="81"/>
      <c r="B138" s="78"/>
      <c r="C138" s="28"/>
      <c r="D138" s="28"/>
    </row>
    <row r="139" spans="1:4" ht="15">
      <c r="A139" s="81" t="s">
        <v>194</v>
      </c>
      <c r="B139" s="277" t="s">
        <v>301</v>
      </c>
      <c r="C139" s="28">
        <f>C140</f>
        <v>34811548.34</v>
      </c>
      <c r="D139" s="28">
        <f>D140</f>
        <v>36548661.54</v>
      </c>
    </row>
    <row r="140" spans="1:4" ht="14.25">
      <c r="A140" s="79" t="s">
        <v>195</v>
      </c>
      <c r="B140" s="78"/>
      <c r="C140" s="29">
        <v>34811548.34</v>
      </c>
      <c r="D140" s="29">
        <v>36548661.54</v>
      </c>
    </row>
    <row r="141" spans="1:4" ht="15">
      <c r="A141" s="81"/>
      <c r="B141" s="78"/>
      <c r="C141" s="28"/>
      <c r="D141" s="28"/>
    </row>
    <row r="142" spans="1:4" ht="15">
      <c r="A142" s="81" t="s">
        <v>127</v>
      </c>
      <c r="B142" s="277" t="s">
        <v>302</v>
      </c>
      <c r="C142" s="28">
        <f>(C143+C144)</f>
        <v>12865678.58</v>
      </c>
      <c r="D142" s="28">
        <f>(D143+D144)</f>
        <v>10971457.64</v>
      </c>
    </row>
    <row r="143" spans="1:4" ht="14.25">
      <c r="A143" s="79" t="s">
        <v>26</v>
      </c>
      <c r="B143" s="78"/>
      <c r="C143" s="29">
        <v>1182380.03</v>
      </c>
      <c r="D143" s="29">
        <v>800152.49</v>
      </c>
    </row>
    <row r="144" spans="1:4" ht="14.25">
      <c r="A144" s="79" t="s">
        <v>206</v>
      </c>
      <c r="B144" s="78"/>
      <c r="C144" s="29">
        <v>11683298.55</v>
      </c>
      <c r="D144" s="29">
        <v>10171305.15</v>
      </c>
    </row>
    <row r="145" spans="1:4" ht="14.25">
      <c r="A145" s="79"/>
      <c r="B145" s="78"/>
      <c r="C145" s="29"/>
      <c r="D145" s="29"/>
    </row>
    <row r="146" spans="1:4" ht="15">
      <c r="A146" s="81" t="s">
        <v>246</v>
      </c>
      <c r="B146" s="78"/>
      <c r="C146" s="28">
        <f>C147+C148</f>
        <v>1113311.9900000002</v>
      </c>
      <c r="D146" s="28">
        <f>D147+D148</f>
        <v>1392396.5099999998</v>
      </c>
    </row>
    <row r="147" spans="1:4" ht="14.25">
      <c r="A147" s="79" t="s">
        <v>247</v>
      </c>
      <c r="B147" s="78"/>
      <c r="C147" s="29">
        <v>9413105.17</v>
      </c>
      <c r="D147" s="29">
        <v>7294588.88</v>
      </c>
    </row>
    <row r="148" spans="1:4" ht="14.25">
      <c r="A148" s="79" t="s">
        <v>201</v>
      </c>
      <c r="B148" s="78"/>
      <c r="C148" s="307">
        <v>-8299793.18</v>
      </c>
      <c r="D148" s="55">
        <v>-5902192.37</v>
      </c>
    </row>
    <row r="149" spans="1:4" ht="14.25">
      <c r="A149" s="85"/>
      <c r="B149" s="104"/>
      <c r="C149" s="56"/>
      <c r="D149" s="56"/>
    </row>
    <row r="150" spans="1:8" ht="15">
      <c r="A150" s="72" t="s">
        <v>44</v>
      </c>
      <c r="B150" s="73"/>
      <c r="C150" s="57">
        <f>C86+C107+C124</f>
        <v>1229879021</v>
      </c>
      <c r="D150" s="57">
        <f>D86+D107+D124</f>
        <v>1110109293.6299999</v>
      </c>
      <c r="H150" s="59"/>
    </row>
    <row r="151" ht="5.25" customHeight="1">
      <c r="D151" s="90"/>
    </row>
    <row r="152" ht="12.75">
      <c r="D152" s="246"/>
    </row>
    <row r="153" ht="43.5" customHeight="1"/>
    <row r="154" spans="1:4" ht="12.75">
      <c r="A154" s="319"/>
      <c r="B154" s="319"/>
      <c r="C154" s="319"/>
      <c r="D154" s="319"/>
    </row>
    <row r="155" spans="1:4" ht="12.75">
      <c r="A155" s="319"/>
      <c r="B155" s="319"/>
      <c r="C155" s="319"/>
      <c r="D155" s="319"/>
    </row>
    <row r="156" spans="1:4" ht="12.75">
      <c r="A156" s="319"/>
      <c r="B156" s="319"/>
      <c r="C156" s="319"/>
      <c r="D156" s="319"/>
    </row>
  </sheetData>
  <sheetProtection/>
  <mergeCells count="14">
    <mergeCell ref="A76:D76"/>
    <mergeCell ref="A77:D77"/>
    <mergeCell ref="A154:D154"/>
    <mergeCell ref="A155:D155"/>
    <mergeCell ref="A156:D156"/>
    <mergeCell ref="A82:D82"/>
    <mergeCell ref="A83:D83"/>
    <mergeCell ref="A1:D1"/>
    <mergeCell ref="A2:D2"/>
    <mergeCell ref="A3:D3"/>
    <mergeCell ref="A4:D4"/>
    <mergeCell ref="A80:D80"/>
    <mergeCell ref="A81:D81"/>
    <mergeCell ref="A75:D75"/>
  </mergeCells>
  <printOptions horizontalCentered="1"/>
  <pageMargins left="0.3937007874015748" right="0.2362204724409449" top="0.7480314960629921" bottom="0.7480314960629921" header="0.31496062992125984" footer="0.31496062992125984"/>
  <pageSetup blackAndWhite="1" horizontalDpi="600" verticalDpi="600" orientation="portrait" paperSize="9" scale="66" r:id="rId3"/>
  <rowBreaks count="2" manualBreakCount="2">
    <brk id="79" max="3" man="1"/>
    <brk id="15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4"/>
  <sheetViews>
    <sheetView showGridLines="0" zoomScale="130" zoomScaleNormal="130" zoomScaleSheetLayoutView="100" zoomScalePageLayoutView="0" workbookViewId="0" topLeftCell="A1">
      <pane ySplit="7" topLeftCell="A14" activePane="bottomLeft" state="frozen"/>
      <selection pane="topLeft" activeCell="B67" sqref="B1:D67"/>
      <selection pane="bottomLeft" activeCell="A21" sqref="A21:IV21"/>
    </sheetView>
  </sheetViews>
  <sheetFormatPr defaultColWidth="9.140625" defaultRowHeight="12.75"/>
  <cols>
    <col min="1" max="1" width="1.28515625" style="88" customWidth="1"/>
    <col min="2" max="2" width="44.00390625" style="88" customWidth="1"/>
    <col min="3" max="3" width="6.140625" style="74" customWidth="1"/>
    <col min="4" max="4" width="19.8515625" style="95" customWidth="1"/>
    <col min="5" max="5" width="10.28125" style="88" customWidth="1"/>
    <col min="6" max="6" width="19.8515625" style="95" customWidth="1"/>
    <col min="7" max="8" width="10.28125" style="88" customWidth="1"/>
    <col min="9" max="9" width="0" style="88" hidden="1" customWidth="1"/>
    <col min="10" max="10" width="14.57421875" style="88" hidden="1" customWidth="1"/>
    <col min="11" max="12" width="0" style="88" hidden="1" customWidth="1"/>
    <col min="13" max="16384" width="9.140625" style="88" customWidth="1"/>
  </cols>
  <sheetData>
    <row r="1" ht="3.75" customHeight="1">
      <c r="H1" s="168"/>
    </row>
    <row r="2" spans="2:8" ht="15" customHeight="1">
      <c r="B2" s="320" t="s">
        <v>366</v>
      </c>
      <c r="C2" s="320"/>
      <c r="D2" s="320"/>
      <c r="E2" s="320"/>
      <c r="F2" s="320"/>
      <c r="G2" s="320"/>
      <c r="H2" s="320"/>
    </row>
    <row r="3" spans="2:8" ht="15" customHeight="1">
      <c r="B3" s="323" t="str">
        <f>'BP'!A2</f>
        <v>CNPJ  00.000.000/0001-00</v>
      </c>
      <c r="C3" s="323"/>
      <c r="D3" s="323"/>
      <c r="E3" s="323"/>
      <c r="F3" s="323"/>
      <c r="G3" s="323"/>
      <c r="H3" s="323"/>
    </row>
    <row r="4" spans="2:8" ht="15" customHeight="1">
      <c r="B4" s="324" t="s">
        <v>309</v>
      </c>
      <c r="C4" s="324"/>
      <c r="D4" s="324"/>
      <c r="E4" s="324"/>
      <c r="F4" s="324"/>
      <c r="G4" s="324"/>
      <c r="H4" s="324"/>
    </row>
    <row r="5" spans="2:8" ht="15" customHeight="1">
      <c r="B5" s="324" t="s">
        <v>327</v>
      </c>
      <c r="C5" s="324"/>
      <c r="D5" s="324"/>
      <c r="E5" s="324"/>
      <c r="F5" s="324"/>
      <c r="G5" s="324"/>
      <c r="H5" s="324"/>
    </row>
    <row r="6" spans="2:8" ht="15" customHeight="1">
      <c r="B6" s="104"/>
      <c r="C6" s="104"/>
      <c r="D6" s="96"/>
      <c r="E6" s="104"/>
      <c r="F6" s="96"/>
      <c r="G6" s="104"/>
      <c r="H6" s="104"/>
    </row>
    <row r="7" spans="2:8" ht="18" customHeight="1">
      <c r="B7" s="72" t="s">
        <v>52</v>
      </c>
      <c r="C7" s="265" t="s">
        <v>112</v>
      </c>
      <c r="D7" s="263">
        <v>43100</v>
      </c>
      <c r="E7" s="169" t="s">
        <v>53</v>
      </c>
      <c r="F7" s="263">
        <v>42735</v>
      </c>
      <c r="G7" s="169" t="s">
        <v>53</v>
      </c>
      <c r="H7" s="169" t="s">
        <v>54</v>
      </c>
    </row>
    <row r="8" spans="2:10" ht="12.75">
      <c r="B8" s="170" t="s">
        <v>319</v>
      </c>
      <c r="C8" s="278" t="s">
        <v>332</v>
      </c>
      <c r="D8" s="105">
        <f>SUM(D9:D14)</f>
        <v>1486326652.1299999</v>
      </c>
      <c r="E8" s="171">
        <f aca="true" t="shared" si="0" ref="E8:E20">(D8/$D$21*100)</f>
        <v>101.3702900291368</v>
      </c>
      <c r="F8" s="105">
        <f>SUM(F9:F14)</f>
        <v>1542680081.74</v>
      </c>
      <c r="G8" s="171">
        <f aca="true" t="shared" si="1" ref="G8:G20">(F8/$F$21*100)</f>
        <v>101.38592604282759</v>
      </c>
      <c r="H8" s="172">
        <f aca="true" t="shared" si="2" ref="H8:H19">(((D8/F8)-1)*100)</f>
        <v>-3.6529563243234864</v>
      </c>
      <c r="J8" s="90">
        <f>D8-F8</f>
        <v>-56353429.61000013</v>
      </c>
    </row>
    <row r="9" spans="2:10" ht="12.75">
      <c r="B9" s="33" t="s">
        <v>280</v>
      </c>
      <c r="C9" s="266"/>
      <c r="D9" s="97">
        <v>514489040.64</v>
      </c>
      <c r="E9" s="173">
        <f t="shared" si="0"/>
        <v>35.08912606239639</v>
      </c>
      <c r="F9" s="97">
        <v>576472970.63</v>
      </c>
      <c r="G9" s="173">
        <f t="shared" si="1"/>
        <v>37.88617397591623</v>
      </c>
      <c r="H9" s="174">
        <f t="shared" si="2"/>
        <v>-10.752269949840098</v>
      </c>
      <c r="I9" s="59"/>
      <c r="J9" s="90">
        <f>D9-F9</f>
        <v>-61983929.99000001</v>
      </c>
    </row>
    <row r="10" spans="2:10" ht="12.75">
      <c r="B10" s="33" t="s">
        <v>55</v>
      </c>
      <c r="C10" s="266"/>
      <c r="D10" s="97">
        <v>359561081.67</v>
      </c>
      <c r="E10" s="173">
        <f t="shared" si="0"/>
        <v>24.52274611361143</v>
      </c>
      <c r="F10" s="97">
        <v>387581830.98</v>
      </c>
      <c r="G10" s="173">
        <f t="shared" si="1"/>
        <v>25.47212692793731</v>
      </c>
      <c r="H10" s="174">
        <f t="shared" si="2"/>
        <v>-7.229634381763872</v>
      </c>
      <c r="I10" s="59"/>
      <c r="J10" s="90">
        <f aca="true" t="shared" si="3" ref="J10:J66">D10-F10</f>
        <v>-28020749.310000002</v>
      </c>
    </row>
    <row r="11" spans="2:10" ht="12.75">
      <c r="B11" s="175" t="s">
        <v>56</v>
      </c>
      <c r="C11" s="266"/>
      <c r="D11" s="106">
        <v>23806792.13</v>
      </c>
      <c r="E11" s="173">
        <f t="shared" si="0"/>
        <v>1.6236682693020796</v>
      </c>
      <c r="F11" s="106">
        <v>24095727.56</v>
      </c>
      <c r="G11" s="173">
        <f t="shared" si="1"/>
        <v>1.5835866951693847</v>
      </c>
      <c r="H11" s="174">
        <f t="shared" si="2"/>
        <v>-1.1991147778398936</v>
      </c>
      <c r="I11" s="59"/>
      <c r="J11" s="90">
        <f t="shared" si="3"/>
        <v>-288935.4299999997</v>
      </c>
    </row>
    <row r="12" spans="2:10" ht="12.75">
      <c r="B12" s="175" t="s">
        <v>239</v>
      </c>
      <c r="C12" s="266"/>
      <c r="D12" s="106">
        <v>114663193.25</v>
      </c>
      <c r="E12" s="173">
        <f t="shared" si="0"/>
        <v>7.820246739680228</v>
      </c>
      <c r="F12" s="106">
        <v>109694100.55</v>
      </c>
      <c r="G12" s="173">
        <f t="shared" si="1"/>
        <v>7.209166759418352</v>
      </c>
      <c r="H12" s="174">
        <f t="shared" si="2"/>
        <v>4.529954368635369</v>
      </c>
      <c r="I12" s="59"/>
      <c r="J12" s="90">
        <f t="shared" si="3"/>
        <v>4969092.700000003</v>
      </c>
    </row>
    <row r="13" spans="2:10" ht="12.75">
      <c r="B13" s="175" t="s">
        <v>57</v>
      </c>
      <c r="C13" s="266"/>
      <c r="D13" s="106">
        <v>470084688.91</v>
      </c>
      <c r="E13" s="173">
        <f t="shared" si="0"/>
        <v>32.060665254689496</v>
      </c>
      <c r="F13" s="106">
        <v>440884969.86</v>
      </c>
      <c r="G13" s="173">
        <f t="shared" si="1"/>
        <v>28.975243458905176</v>
      </c>
      <c r="H13" s="174">
        <f t="shared" si="2"/>
        <v>6.622979018602559</v>
      </c>
      <c r="I13" s="59"/>
      <c r="J13" s="90">
        <f t="shared" si="3"/>
        <v>29199719.050000012</v>
      </c>
    </row>
    <row r="14" spans="2:10" ht="12.75">
      <c r="B14" s="175" t="s">
        <v>58</v>
      </c>
      <c r="C14" s="266"/>
      <c r="D14" s="106">
        <v>3721855.53</v>
      </c>
      <c r="E14" s="173">
        <f t="shared" si="0"/>
        <v>0.25383758945718465</v>
      </c>
      <c r="F14" s="106">
        <v>3950482.16</v>
      </c>
      <c r="G14" s="173">
        <f t="shared" si="1"/>
        <v>0.25962822548114883</v>
      </c>
      <c r="H14" s="174">
        <f t="shared" si="2"/>
        <v>-5.787309516669237</v>
      </c>
      <c r="J14" s="90">
        <f t="shared" si="3"/>
        <v>-228626.63000000035</v>
      </c>
    </row>
    <row r="15" spans="2:10" ht="12.75">
      <c r="B15" s="34" t="s">
        <v>59</v>
      </c>
      <c r="C15" s="267"/>
      <c r="D15" s="32">
        <f>SUM(D16:D20)</f>
        <v>-20091671.74</v>
      </c>
      <c r="E15" s="176">
        <f t="shared" si="0"/>
        <v>-1.3702900291367943</v>
      </c>
      <c r="F15" s="32">
        <f>SUM(F16:F20)</f>
        <v>-21088139</v>
      </c>
      <c r="G15" s="176">
        <f t="shared" si="1"/>
        <v>-1.3859260428275946</v>
      </c>
      <c r="H15" s="177">
        <f t="shared" si="2"/>
        <v>-4.7252498667616045</v>
      </c>
      <c r="J15" s="90">
        <f t="shared" si="3"/>
        <v>996467.2600000016</v>
      </c>
    </row>
    <row r="16" spans="2:10" ht="12.75">
      <c r="B16" s="175" t="s">
        <v>60</v>
      </c>
      <c r="C16" s="266"/>
      <c r="D16" s="107">
        <v>-7637770.01</v>
      </c>
      <c r="E16" s="173">
        <f t="shared" si="0"/>
        <v>-0.5209103664931285</v>
      </c>
      <c r="F16" s="107">
        <v>-9538228.15</v>
      </c>
      <c r="G16" s="173">
        <f t="shared" si="1"/>
        <v>-0.6268584817046335</v>
      </c>
      <c r="H16" s="174">
        <f t="shared" si="2"/>
        <v>-19.92464543847172</v>
      </c>
      <c r="J16" s="90">
        <f t="shared" si="3"/>
        <v>1900458.1400000006</v>
      </c>
    </row>
    <row r="17" spans="2:10" ht="12.75">
      <c r="B17" s="175" t="s">
        <v>61</v>
      </c>
      <c r="C17" s="266"/>
      <c r="D17" s="107">
        <v>-8627663.36</v>
      </c>
      <c r="E17" s="173">
        <f t="shared" si="0"/>
        <v>-0.5884229659904274</v>
      </c>
      <c r="F17" s="107">
        <v>-7416466.12</v>
      </c>
      <c r="G17" s="173">
        <f t="shared" si="1"/>
        <v>-0.48741491799994885</v>
      </c>
      <c r="H17" s="174">
        <f t="shared" si="2"/>
        <v>16.331190898772686</v>
      </c>
      <c r="J17" s="90">
        <f t="shared" si="3"/>
        <v>-1211197.2399999993</v>
      </c>
    </row>
    <row r="18" spans="2:10" ht="12.75">
      <c r="B18" s="33" t="s">
        <v>311</v>
      </c>
      <c r="C18" s="266"/>
      <c r="D18" s="107">
        <v>-1873110.08</v>
      </c>
      <c r="E18" s="173">
        <f t="shared" si="0"/>
        <v>-0.12774965166236701</v>
      </c>
      <c r="F18" s="107">
        <v>-1610160.88</v>
      </c>
      <c r="G18" s="173">
        <f t="shared" si="1"/>
        <v>-0.10582080745646627</v>
      </c>
      <c r="H18" s="174">
        <f t="shared" si="2"/>
        <v>16.330616602733517</v>
      </c>
      <c r="J18" s="90">
        <f t="shared" si="3"/>
        <v>-262949.2000000002</v>
      </c>
    </row>
    <row r="19" spans="2:10" ht="12.75">
      <c r="B19" s="33" t="s">
        <v>312</v>
      </c>
      <c r="C19" s="266"/>
      <c r="D19" s="107">
        <v>-1950624.98</v>
      </c>
      <c r="E19" s="173">
        <f t="shared" si="0"/>
        <v>-0.13303631451223175</v>
      </c>
      <c r="F19" s="107">
        <v>-2523283.85</v>
      </c>
      <c r="G19" s="173">
        <f t="shared" si="1"/>
        <v>-0.1658318356665459</v>
      </c>
      <c r="H19" s="174">
        <f t="shared" si="2"/>
        <v>-22.694984157252073</v>
      </c>
      <c r="J19" s="90">
        <f t="shared" si="3"/>
        <v>572658.8700000001</v>
      </c>
    </row>
    <row r="20" spans="2:10" ht="12.75">
      <c r="B20" s="33" t="s">
        <v>310</v>
      </c>
      <c r="C20" s="266"/>
      <c r="D20" s="107">
        <v>-2503.31</v>
      </c>
      <c r="E20" s="173">
        <f t="shared" si="0"/>
        <v>-0.00017073047863952552</v>
      </c>
      <c r="F20" s="107">
        <v>0</v>
      </c>
      <c r="G20" s="173">
        <f t="shared" si="1"/>
        <v>0</v>
      </c>
      <c r="H20" s="174">
        <v>100</v>
      </c>
      <c r="J20" s="90">
        <f t="shared" si="3"/>
        <v>-2503.31</v>
      </c>
    </row>
    <row r="21" spans="2:10" ht="12.75">
      <c r="B21" s="34" t="s">
        <v>320</v>
      </c>
      <c r="C21" s="267"/>
      <c r="D21" s="32">
        <f>D8+D15</f>
        <v>1466234980.3899999</v>
      </c>
      <c r="E21" s="176">
        <v>100</v>
      </c>
      <c r="F21" s="32">
        <f>F8+F15</f>
        <v>1521591942.74</v>
      </c>
      <c r="G21" s="176">
        <f>(F21/F21*100)</f>
        <v>100</v>
      </c>
      <c r="H21" s="177">
        <f aca="true" t="shared" si="4" ref="H21:H41">(((D21/F21)-1)*100)</f>
        <v>-3.6380951288632835</v>
      </c>
      <c r="J21" s="90">
        <f t="shared" si="3"/>
        <v>-55356962.35000014</v>
      </c>
    </row>
    <row r="22" spans="2:17" ht="12.75">
      <c r="B22" s="34" t="s">
        <v>321</v>
      </c>
      <c r="C22" s="267"/>
      <c r="D22" s="32">
        <f>D23+D24+D25+D26+D27+D28</f>
        <v>-1207492188.9199998</v>
      </c>
      <c r="E22" s="176">
        <f aca="true" t="shared" si="5" ref="E22:E47">(D22/$D$21*100)</f>
        <v>-82.35325204141715</v>
      </c>
      <c r="F22" s="32">
        <f>F23+F24+F25+F26+F27+F28</f>
        <v>-1295665327.98</v>
      </c>
      <c r="G22" s="176">
        <f aca="true" t="shared" si="6" ref="G22:G47">(F22/$F$21*100)</f>
        <v>-85.15195773492572</v>
      </c>
      <c r="H22" s="177">
        <f t="shared" si="4"/>
        <v>-6.805240300554005</v>
      </c>
      <c r="J22" s="90">
        <f t="shared" si="3"/>
        <v>88173139.06000018</v>
      </c>
      <c r="Q22" s="298"/>
    </row>
    <row r="23" spans="2:10" ht="13.5" customHeight="1">
      <c r="B23" s="33" t="s">
        <v>63</v>
      </c>
      <c r="C23" s="266"/>
      <c r="D23" s="97">
        <v>-482804609.96</v>
      </c>
      <c r="E23" s="173">
        <f t="shared" si="5"/>
        <v>-32.928187938305776</v>
      </c>
      <c r="F23" s="97">
        <v>-493615178.97</v>
      </c>
      <c r="G23" s="173">
        <f t="shared" si="6"/>
        <v>-32.4407066773188</v>
      </c>
      <c r="H23" s="174">
        <f t="shared" si="4"/>
        <v>-2.190080344076506</v>
      </c>
      <c r="J23" s="90">
        <f t="shared" si="3"/>
        <v>10810569.01000005</v>
      </c>
    </row>
    <row r="24" spans="2:10" ht="13.5" customHeight="1">
      <c r="B24" s="33" t="s">
        <v>64</v>
      </c>
      <c r="C24" s="266"/>
      <c r="D24" s="97">
        <v>-283375372.61</v>
      </c>
      <c r="E24" s="173">
        <f t="shared" si="5"/>
        <v>-19.326736600884107</v>
      </c>
      <c r="F24" s="97">
        <v>-313729256.33</v>
      </c>
      <c r="G24" s="173">
        <f t="shared" si="6"/>
        <v>-20.61848827649898</v>
      </c>
      <c r="H24" s="174">
        <f t="shared" si="4"/>
        <v>-9.675184289498285</v>
      </c>
      <c r="J24" s="90">
        <f t="shared" si="3"/>
        <v>30353883.71999997</v>
      </c>
    </row>
    <row r="25" spans="2:10" ht="13.5" customHeight="1">
      <c r="B25" s="33" t="s">
        <v>65</v>
      </c>
      <c r="C25" s="266"/>
      <c r="D25" s="97">
        <v>-17994293.24</v>
      </c>
      <c r="E25" s="173">
        <f t="shared" si="5"/>
        <v>-1.2272448468808013</v>
      </c>
      <c r="F25" s="97">
        <v>-17967531.44</v>
      </c>
      <c r="G25" s="173">
        <f t="shared" si="6"/>
        <v>-1.1808377091985023</v>
      </c>
      <c r="H25" s="174">
        <f t="shared" si="4"/>
        <v>0.14894533558693634</v>
      </c>
      <c r="J25" s="90">
        <f t="shared" si="3"/>
        <v>-26761.79999999702</v>
      </c>
    </row>
    <row r="26" spans="2:10" ht="13.5" customHeight="1">
      <c r="B26" s="33" t="s">
        <v>66</v>
      </c>
      <c r="C26" s="266"/>
      <c r="D26" s="97">
        <v>-80715220.28</v>
      </c>
      <c r="E26" s="173">
        <f t="shared" si="5"/>
        <v>-5.504930748448709</v>
      </c>
      <c r="F26" s="97">
        <v>-81028232.68</v>
      </c>
      <c r="G26" s="173">
        <f t="shared" si="6"/>
        <v>-5.325227507060058</v>
      </c>
      <c r="H26" s="174">
        <f t="shared" si="4"/>
        <v>-0.38630041609838406</v>
      </c>
      <c r="J26" s="90">
        <f t="shared" si="3"/>
        <v>313012.40000000596</v>
      </c>
    </row>
    <row r="27" spans="2:10" ht="13.5" customHeight="1">
      <c r="B27" s="33" t="s">
        <v>67</v>
      </c>
      <c r="C27" s="266"/>
      <c r="D27" s="97">
        <v>-336268382.32</v>
      </c>
      <c r="E27" s="173">
        <f t="shared" si="5"/>
        <v>-22.93413994464631</v>
      </c>
      <c r="F27" s="97">
        <v>-384152055.1</v>
      </c>
      <c r="G27" s="173">
        <f t="shared" si="6"/>
        <v>-25.24671985369743</v>
      </c>
      <c r="H27" s="174">
        <f t="shared" si="4"/>
        <v>-12.464770692827676</v>
      </c>
      <c r="J27" s="90">
        <f t="shared" si="3"/>
        <v>47883672.78000003</v>
      </c>
    </row>
    <row r="28" spans="2:10" ht="13.5" customHeight="1">
      <c r="B28" s="33" t="s">
        <v>316</v>
      </c>
      <c r="C28" s="266"/>
      <c r="D28" s="97">
        <v>-6334310.51</v>
      </c>
      <c r="E28" s="173">
        <f t="shared" si="5"/>
        <v>-0.4320119622514499</v>
      </c>
      <c r="F28" s="97">
        <v>-5173073.46</v>
      </c>
      <c r="G28" s="173">
        <f t="shared" si="6"/>
        <v>-0.33997771115195385</v>
      </c>
      <c r="H28" s="174">
        <f t="shared" si="4"/>
        <v>22.447720083217227</v>
      </c>
      <c r="J28" s="90">
        <f t="shared" si="3"/>
        <v>-1161237.0499999998</v>
      </c>
    </row>
    <row r="29" spans="2:10" ht="12.75">
      <c r="B29" s="34" t="s">
        <v>248</v>
      </c>
      <c r="C29" s="267"/>
      <c r="D29" s="32">
        <f>D21+D22</f>
        <v>258742791.47000003</v>
      </c>
      <c r="E29" s="176">
        <f t="shared" si="5"/>
        <v>17.646747958582857</v>
      </c>
      <c r="F29" s="32">
        <f>F21+F22</f>
        <v>225926614.76</v>
      </c>
      <c r="G29" s="176">
        <f t="shared" si="6"/>
        <v>14.848042265074277</v>
      </c>
      <c r="H29" s="177">
        <f t="shared" si="4"/>
        <v>14.525148683726519</v>
      </c>
      <c r="J29" s="90">
        <f t="shared" si="3"/>
        <v>32816176.71000004</v>
      </c>
    </row>
    <row r="30" spans="2:10" ht="12.75">
      <c r="B30" s="34" t="s">
        <v>249</v>
      </c>
      <c r="C30" s="267"/>
      <c r="D30" s="32">
        <f>SUM(D31:D34)</f>
        <v>-197492786.3</v>
      </c>
      <c r="E30" s="176">
        <f t="shared" si="5"/>
        <v>-13.46938171175465</v>
      </c>
      <c r="F30" s="32">
        <f>SUM(F31:F34)</f>
        <v>-176437723.27</v>
      </c>
      <c r="G30" s="176">
        <f t="shared" si="6"/>
        <v>-11.59560052298125</v>
      </c>
      <c r="H30" s="177">
        <f t="shared" si="4"/>
        <v>11.933424802687886</v>
      </c>
      <c r="J30" s="90">
        <f t="shared" si="3"/>
        <v>-21055063.03</v>
      </c>
    </row>
    <row r="31" spans="2:10" ht="12.75">
      <c r="B31" s="33" t="s">
        <v>250</v>
      </c>
      <c r="C31" s="266"/>
      <c r="D31" s="107">
        <v>-42041999.61</v>
      </c>
      <c r="E31" s="173">
        <f t="shared" si="5"/>
        <v>-2.8673439231969056</v>
      </c>
      <c r="F31" s="107">
        <v>-39768753.1</v>
      </c>
      <c r="G31" s="173">
        <f t="shared" si="6"/>
        <v>-2.6136280025501843</v>
      </c>
      <c r="H31" s="174">
        <f t="shared" si="4"/>
        <v>5.716162395848401</v>
      </c>
      <c r="J31" s="90">
        <f t="shared" si="3"/>
        <v>-2273246.509999998</v>
      </c>
    </row>
    <row r="32" spans="2:10" ht="12.75">
      <c r="B32" s="33" t="s">
        <v>251</v>
      </c>
      <c r="C32" s="266"/>
      <c r="D32" s="107">
        <v>-49681885.91</v>
      </c>
      <c r="E32" s="173">
        <f t="shared" si="5"/>
        <v>-3.388398624672373</v>
      </c>
      <c r="F32" s="107">
        <f>-(31299801.44+10585800.9)</f>
        <v>-41885602.34</v>
      </c>
      <c r="G32" s="173">
        <f t="shared" si="6"/>
        <v>-2.7527486945399233</v>
      </c>
      <c r="H32" s="174">
        <f t="shared" si="4"/>
        <v>18.613277915200666</v>
      </c>
      <c r="J32" s="90">
        <f t="shared" si="3"/>
        <v>-7796283.569999993</v>
      </c>
    </row>
    <row r="33" spans="2:10" ht="12.75">
      <c r="B33" s="33" t="s">
        <v>252</v>
      </c>
      <c r="C33" s="266"/>
      <c r="D33" s="107">
        <v>-92899196.51</v>
      </c>
      <c r="E33" s="173">
        <f t="shared" si="5"/>
        <v>-6.335900981252678</v>
      </c>
      <c r="F33" s="107">
        <v>-87591135.62</v>
      </c>
      <c r="G33" s="173">
        <f t="shared" si="6"/>
        <v>-5.756545704511989</v>
      </c>
      <c r="H33" s="174">
        <f t="shared" si="4"/>
        <v>6.060043464932541</v>
      </c>
      <c r="J33" s="90">
        <f t="shared" si="3"/>
        <v>-5308060.890000001</v>
      </c>
    </row>
    <row r="34" spans="2:10" ht="12.75">
      <c r="B34" s="33" t="s">
        <v>253</v>
      </c>
      <c r="C34" s="266"/>
      <c r="D34" s="107">
        <v>-12869704.27</v>
      </c>
      <c r="E34" s="173">
        <f t="shared" si="5"/>
        <v>-0.8777381826326924</v>
      </c>
      <c r="F34" s="107">
        <v>-7192232.21</v>
      </c>
      <c r="G34" s="173">
        <f t="shared" si="6"/>
        <v>-0.47267812137915366</v>
      </c>
      <c r="H34" s="174">
        <f t="shared" si="4"/>
        <v>78.93894265685839</v>
      </c>
      <c r="J34" s="90">
        <f t="shared" si="3"/>
        <v>-5677472.06</v>
      </c>
    </row>
    <row r="35" spans="2:10" ht="12.75">
      <c r="B35" s="34" t="s">
        <v>317</v>
      </c>
      <c r="C35" s="267" t="s">
        <v>332</v>
      </c>
      <c r="D35" s="32">
        <v>16830311.62</v>
      </c>
      <c r="E35" s="176">
        <f t="shared" si="5"/>
        <v>1.1478590979682775</v>
      </c>
      <c r="F35" s="32">
        <v>24196094.68</v>
      </c>
      <c r="G35" s="176">
        <f t="shared" si="6"/>
        <v>1.590182886775083</v>
      </c>
      <c r="H35" s="177">
        <f t="shared" si="4"/>
        <v>-30.442032722282264</v>
      </c>
      <c r="J35" s="90">
        <f t="shared" si="3"/>
        <v>-7365783.059999999</v>
      </c>
    </row>
    <row r="36" spans="2:10" ht="13.5" customHeight="1">
      <c r="B36" s="34" t="s">
        <v>318</v>
      </c>
      <c r="C36" s="267"/>
      <c r="D36" s="32">
        <f>D29+D30+D35</f>
        <v>78080316.79000002</v>
      </c>
      <c r="E36" s="176">
        <f t="shared" si="5"/>
        <v>5.3252253447964835</v>
      </c>
      <c r="F36" s="32">
        <f>F29+F30+F35</f>
        <v>73684986.16999999</v>
      </c>
      <c r="G36" s="176">
        <f t="shared" si="6"/>
        <v>4.84262462886811</v>
      </c>
      <c r="H36" s="177">
        <f t="shared" si="4"/>
        <v>5.965028764285152</v>
      </c>
      <c r="J36" s="90">
        <f t="shared" si="3"/>
        <v>4395330.620000035</v>
      </c>
    </row>
    <row r="37" spans="2:10" ht="12.75">
      <c r="B37" s="34" t="s">
        <v>69</v>
      </c>
      <c r="C37" s="267" t="s">
        <v>331</v>
      </c>
      <c r="D37" s="32">
        <f>SUM(D38:D42)</f>
        <v>-18825793.830000002</v>
      </c>
      <c r="E37" s="176">
        <f t="shared" si="5"/>
        <v>-1.283954760443144</v>
      </c>
      <c r="F37" s="32">
        <f>SUM(F38:F42)</f>
        <v>-39068143.830000006</v>
      </c>
      <c r="G37" s="176">
        <f t="shared" si="6"/>
        <v>-2.5675835112302328</v>
      </c>
      <c r="H37" s="177">
        <f t="shared" si="4"/>
        <v>-51.81292996176625</v>
      </c>
      <c r="J37" s="90">
        <f t="shared" si="3"/>
        <v>20242350.000000004</v>
      </c>
    </row>
    <row r="38" spans="2:10" ht="12.75">
      <c r="B38" s="175" t="s">
        <v>70</v>
      </c>
      <c r="C38" s="266"/>
      <c r="D38" s="215">
        <v>-38355695.13</v>
      </c>
      <c r="E38" s="173">
        <f t="shared" si="5"/>
        <v>-2.6159309826176615</v>
      </c>
      <c r="F38" s="215">
        <v>-65708454.34</v>
      </c>
      <c r="G38" s="173">
        <f t="shared" si="6"/>
        <v>-4.318401832601439</v>
      </c>
      <c r="H38" s="174">
        <f t="shared" si="4"/>
        <v>-41.62745796525154</v>
      </c>
      <c r="J38" s="90">
        <f t="shared" si="3"/>
        <v>27352759.21</v>
      </c>
    </row>
    <row r="39" spans="2:10" ht="12.75">
      <c r="B39" s="175" t="s">
        <v>71</v>
      </c>
      <c r="C39" s="266"/>
      <c r="D39" s="215">
        <v>20066584.46</v>
      </c>
      <c r="E39" s="173">
        <f t="shared" si="5"/>
        <v>1.3685790291718825</v>
      </c>
      <c r="F39" s="215">
        <v>18481511.61</v>
      </c>
      <c r="G39" s="173">
        <f t="shared" si="6"/>
        <v>1.2146168161694848</v>
      </c>
      <c r="H39" s="174">
        <f t="shared" si="4"/>
        <v>8.576532501499212</v>
      </c>
      <c r="J39" s="90">
        <f t="shared" si="3"/>
        <v>1585072.8500000015</v>
      </c>
    </row>
    <row r="40" spans="2:10" ht="12.75">
      <c r="B40" s="33" t="s">
        <v>254</v>
      </c>
      <c r="C40" s="266"/>
      <c r="D40" s="215">
        <v>28461010.51</v>
      </c>
      <c r="E40" s="173">
        <f t="shared" si="5"/>
        <v>1.9410947693001932</v>
      </c>
      <c r="F40" s="215">
        <v>21430477.03</v>
      </c>
      <c r="G40" s="173">
        <f t="shared" si="6"/>
        <v>1.4084247180889484</v>
      </c>
      <c r="H40" s="174">
        <f t="shared" si="4"/>
        <v>32.80623884460494</v>
      </c>
      <c r="J40" s="90">
        <f t="shared" si="3"/>
        <v>7030533.48</v>
      </c>
    </row>
    <row r="41" spans="2:10" ht="12.75">
      <c r="B41" s="33" t="s">
        <v>273</v>
      </c>
      <c r="C41" s="266"/>
      <c r="D41" s="215">
        <v>-27834160.23</v>
      </c>
      <c r="E41" s="173">
        <f t="shared" si="5"/>
        <v>-1.898342394109058</v>
      </c>
      <c r="F41" s="215">
        <v>-13271678.13</v>
      </c>
      <c r="G41" s="173">
        <f t="shared" si="6"/>
        <v>-0.8722232128872268</v>
      </c>
      <c r="H41" s="174">
        <f t="shared" si="4"/>
        <v>109.72600418241156</v>
      </c>
      <c r="J41" s="90">
        <f t="shared" si="3"/>
        <v>-14562482.1</v>
      </c>
    </row>
    <row r="42" spans="2:10" ht="12.75">
      <c r="B42" s="175" t="s">
        <v>72</v>
      </c>
      <c r="C42" s="266"/>
      <c r="D42" s="215">
        <v>-1163533.44</v>
      </c>
      <c r="E42" s="173">
        <f t="shared" si="5"/>
        <v>-0.07935518218849988</v>
      </c>
      <c r="F42" s="215">
        <v>0</v>
      </c>
      <c r="G42" s="173">
        <f t="shared" si="6"/>
        <v>0</v>
      </c>
      <c r="H42" s="174">
        <v>100</v>
      </c>
      <c r="J42" s="90">
        <f t="shared" si="3"/>
        <v>-1163533.44</v>
      </c>
    </row>
    <row r="43" spans="2:10" ht="12.75">
      <c r="B43" s="34" t="s">
        <v>73</v>
      </c>
      <c r="C43" s="267"/>
      <c r="D43" s="32">
        <f>SUM(D36+D37)</f>
        <v>59254522.96000002</v>
      </c>
      <c r="E43" s="176">
        <f t="shared" si="5"/>
        <v>4.04127058435334</v>
      </c>
      <c r="F43" s="32">
        <f>SUM(F36+F37)</f>
        <v>34616842.33999998</v>
      </c>
      <c r="G43" s="176">
        <f t="shared" si="6"/>
        <v>2.275041117637877</v>
      </c>
      <c r="H43" s="177">
        <f>(((D43/F43)-1)*100)</f>
        <v>71.17252457059334</v>
      </c>
      <c r="J43" s="90">
        <f t="shared" si="3"/>
        <v>24637680.620000042</v>
      </c>
    </row>
    <row r="44" spans="2:10" ht="12.75">
      <c r="B44" s="33" t="s">
        <v>74</v>
      </c>
      <c r="C44" s="266" t="s">
        <v>333</v>
      </c>
      <c r="D44" s="108">
        <v>-334884.25</v>
      </c>
      <c r="E44" s="173">
        <f t="shared" si="5"/>
        <v>-0.02283973950143551</v>
      </c>
      <c r="F44" s="108">
        <v>-2261418.81</v>
      </c>
      <c r="G44" s="173">
        <f t="shared" si="6"/>
        <v>-0.14862189700661532</v>
      </c>
      <c r="H44" s="174">
        <f>(((D44/F44)-1)*100)</f>
        <v>-85.19140954700028</v>
      </c>
      <c r="J44" s="90">
        <f t="shared" si="3"/>
        <v>1926534.56</v>
      </c>
    </row>
    <row r="45" spans="2:10" ht="13.5" customHeight="1">
      <c r="B45" s="33" t="s">
        <v>75</v>
      </c>
      <c r="C45" s="266" t="s">
        <v>333</v>
      </c>
      <c r="D45" s="108">
        <v>-882230.44</v>
      </c>
      <c r="E45" s="173">
        <f t="shared" si="5"/>
        <v>-0.060169785320858864</v>
      </c>
      <c r="F45" s="108">
        <v>-6262110.72</v>
      </c>
      <c r="G45" s="173">
        <f t="shared" si="6"/>
        <v>-0.41154993951423874</v>
      </c>
      <c r="H45" s="174">
        <f>(((D45/F45)-1)*100)</f>
        <v>-85.91161224310004</v>
      </c>
      <c r="J45" s="90">
        <f t="shared" si="3"/>
        <v>5379880.279999999</v>
      </c>
    </row>
    <row r="46" spans="2:10" ht="13.5" customHeight="1">
      <c r="B46" s="33" t="s">
        <v>238</v>
      </c>
      <c r="C46" s="266"/>
      <c r="D46" s="108">
        <v>5584.78</v>
      </c>
      <c r="E46" s="173">
        <f t="shared" si="5"/>
        <v>0.0003808925632448436</v>
      </c>
      <c r="F46" s="108">
        <v>19647.38</v>
      </c>
      <c r="G46" s="173">
        <f t="shared" si="6"/>
        <v>0.001291238435754337</v>
      </c>
      <c r="H46" s="174">
        <f>(((D46/F46)-1)*100)</f>
        <v>-71.5749377270659</v>
      </c>
      <c r="J46" s="90">
        <f t="shared" si="3"/>
        <v>-14062.600000000002</v>
      </c>
    </row>
    <row r="47" spans="2:10" ht="12.75">
      <c r="B47" s="279" t="s">
        <v>336</v>
      </c>
      <c r="C47" s="268"/>
      <c r="D47" s="98">
        <f>D43+D44+D45+D46</f>
        <v>58042993.05000003</v>
      </c>
      <c r="E47" s="178">
        <f t="shared" si="5"/>
        <v>3.9586419520942906</v>
      </c>
      <c r="F47" s="98">
        <f>F43+F44+F45+F46</f>
        <v>26112960.189999983</v>
      </c>
      <c r="G47" s="178">
        <f t="shared" si="6"/>
        <v>1.7161605195527774</v>
      </c>
      <c r="H47" s="179">
        <f>(((D47/F47)-1)*100)</f>
        <v>122.27657311800186</v>
      </c>
      <c r="J47" s="90">
        <f t="shared" si="3"/>
        <v>31930032.860000044</v>
      </c>
    </row>
    <row r="48" spans="2:10" ht="15" customHeight="1">
      <c r="B48" s="325" t="s">
        <v>76</v>
      </c>
      <c r="C48" s="326"/>
      <c r="D48" s="326"/>
      <c r="E48" s="327"/>
      <c r="F48" s="326"/>
      <c r="G48" s="327"/>
      <c r="H48" s="328"/>
      <c r="J48" s="90">
        <f t="shared" si="3"/>
        <v>0</v>
      </c>
    </row>
    <row r="49" spans="2:10" ht="12.75" customHeight="1">
      <c r="B49" s="34" t="s">
        <v>337</v>
      </c>
      <c r="C49" s="267"/>
      <c r="D49" s="223">
        <f>D47</f>
        <v>58042993.05000003</v>
      </c>
      <c r="E49" s="171">
        <f>(D49/$D$21*100)</f>
        <v>3.9586419520942906</v>
      </c>
      <c r="F49" s="233">
        <f>F47</f>
        <v>26112960.189999983</v>
      </c>
      <c r="G49" s="171">
        <f>(F49/$F$21*100)</f>
        <v>1.7161605195527774</v>
      </c>
      <c r="H49" s="236">
        <f>H47</f>
        <v>122.27657311800186</v>
      </c>
      <c r="J49" s="90">
        <f t="shared" si="3"/>
        <v>31930032.860000044</v>
      </c>
    </row>
    <row r="50" spans="2:10" ht="12.75">
      <c r="B50" s="34" t="s">
        <v>256</v>
      </c>
      <c r="C50" s="267"/>
      <c r="D50" s="224">
        <f>D51</f>
        <v>1702570.34</v>
      </c>
      <c r="E50" s="176">
        <f>(D50/$D$21*100)</f>
        <v>0.11611851870749516</v>
      </c>
      <c r="F50" s="234">
        <f>F51</f>
        <v>1755314.21</v>
      </c>
      <c r="G50" s="176">
        <f>(F50/$F$21*100)</f>
        <v>0.11536037755557023</v>
      </c>
      <c r="H50" s="180">
        <f>(((D50/F50)-1)*100)</f>
        <v>-3.0048107455359685</v>
      </c>
      <c r="J50" s="90">
        <f t="shared" si="3"/>
        <v>-52743.86999999988</v>
      </c>
    </row>
    <row r="51" spans="2:10" ht="12.75">
      <c r="B51" s="33" t="s">
        <v>196</v>
      </c>
      <c r="C51" s="266"/>
      <c r="D51" s="225">
        <v>1702570.34</v>
      </c>
      <c r="E51" s="173">
        <f>(D51/$D$21*100)</f>
        <v>0.11611851870749516</v>
      </c>
      <c r="F51" s="225">
        <v>1755314.21</v>
      </c>
      <c r="G51" s="173">
        <f>(F51/$F$21*100)</f>
        <v>0.11536037755557023</v>
      </c>
      <c r="H51" s="181">
        <f>(((D51/F51)-1)*100)</f>
        <v>-3.0048107455359685</v>
      </c>
      <c r="J51" s="90">
        <f t="shared" si="3"/>
        <v>-52743.86999999988</v>
      </c>
    </row>
    <row r="52" spans="2:10" ht="12.75">
      <c r="B52" s="34" t="s">
        <v>133</v>
      </c>
      <c r="C52" s="267"/>
      <c r="D52" s="226">
        <f>D49+D50</f>
        <v>59745563.39000003</v>
      </c>
      <c r="E52" s="178">
        <f>(D52/$D$21*100)</f>
        <v>4.074760470801786</v>
      </c>
      <c r="F52" s="235">
        <f>F49+F50</f>
        <v>27868274.399999984</v>
      </c>
      <c r="G52" s="178">
        <f>(F52/$F$21*100)</f>
        <v>1.8315208971083476</v>
      </c>
      <c r="H52" s="180">
        <f>(((D52/F52)-1)*100)</f>
        <v>114.38558603398876</v>
      </c>
      <c r="J52" s="90">
        <f t="shared" si="3"/>
        <v>31877288.990000047</v>
      </c>
    </row>
    <row r="53" spans="2:10" ht="15" customHeight="1">
      <c r="B53" s="325" t="s">
        <v>264</v>
      </c>
      <c r="C53" s="326"/>
      <c r="D53" s="326"/>
      <c r="E53" s="329"/>
      <c r="F53" s="326"/>
      <c r="G53" s="330"/>
      <c r="H53" s="328"/>
      <c r="J53" s="90">
        <f t="shared" si="3"/>
        <v>0</v>
      </c>
    </row>
    <row r="54" spans="2:10" ht="12.75">
      <c r="B54" s="34" t="s">
        <v>133</v>
      </c>
      <c r="C54" s="267"/>
      <c r="D54" s="224">
        <f>D52</f>
        <v>59745563.39000003</v>
      </c>
      <c r="E54" s="171">
        <f aca="true" t="shared" si="7" ref="E54:E64">(D54/$D$21*100)</f>
        <v>4.074760470801786</v>
      </c>
      <c r="F54" s="227">
        <f>F52</f>
        <v>27868274.399999984</v>
      </c>
      <c r="G54" s="176">
        <f aca="true" t="shared" si="8" ref="G54:G64">(F54/$F$21*100)</f>
        <v>1.8315208971083476</v>
      </c>
      <c r="H54" s="177">
        <f>H52</f>
        <v>114.38558603398876</v>
      </c>
      <c r="J54" s="90">
        <f t="shared" si="3"/>
        <v>31877288.990000047</v>
      </c>
    </row>
    <row r="55" spans="2:10" ht="12.75">
      <c r="B55" s="33" t="s">
        <v>266</v>
      </c>
      <c r="C55" s="266" t="s">
        <v>349</v>
      </c>
      <c r="D55" s="225">
        <v>7155543.07</v>
      </c>
      <c r="E55" s="173">
        <f t="shared" si="7"/>
        <v>0.4880215767391334</v>
      </c>
      <c r="F55" s="225">
        <v>6927849.29</v>
      </c>
      <c r="G55" s="173">
        <f t="shared" si="8"/>
        <v>0.45530270602805023</v>
      </c>
      <c r="H55" s="174">
        <f aca="true" t="shared" si="9" ref="H55:H61">(((D55/F55)-1)*100)</f>
        <v>3.286644533804517</v>
      </c>
      <c r="J55" s="90">
        <f t="shared" si="3"/>
        <v>227693.78000000026</v>
      </c>
    </row>
    <row r="56" spans="2:10" ht="12.75">
      <c r="B56" s="33" t="s">
        <v>132</v>
      </c>
      <c r="C56" s="266" t="s">
        <v>306</v>
      </c>
      <c r="D56" s="225">
        <v>-1495108.43</v>
      </c>
      <c r="E56" s="173">
        <f t="shared" si="7"/>
        <v>-0.10196922389631709</v>
      </c>
      <c r="F56" s="225">
        <v>-4129964.2</v>
      </c>
      <c r="G56" s="173">
        <f t="shared" si="8"/>
        <v>-0.2714239004553997</v>
      </c>
      <c r="H56" s="174">
        <f t="shared" si="9"/>
        <v>-63.79851355612236</v>
      </c>
      <c r="J56" s="90">
        <f t="shared" si="3"/>
        <v>2634855.7700000005</v>
      </c>
    </row>
    <row r="57" spans="2:10" ht="12.75">
      <c r="B57" s="34" t="s">
        <v>255</v>
      </c>
      <c r="C57" s="267"/>
      <c r="D57" s="32">
        <f>SUM(D54:D56)</f>
        <v>65405998.03000003</v>
      </c>
      <c r="E57" s="228">
        <f t="shared" si="7"/>
        <v>4.460812823644602</v>
      </c>
      <c r="F57" s="32">
        <f>SUM(F54:F56)</f>
        <v>30666159.489999983</v>
      </c>
      <c r="G57" s="228">
        <f t="shared" si="8"/>
        <v>2.015399702680998</v>
      </c>
      <c r="H57" s="177">
        <f t="shared" si="9"/>
        <v>113.28395572757803</v>
      </c>
      <c r="I57" s="175"/>
      <c r="J57" s="90">
        <f t="shared" si="3"/>
        <v>34739838.54000005</v>
      </c>
    </row>
    <row r="58" spans="2:10" ht="12.75">
      <c r="B58" s="33" t="s">
        <v>210</v>
      </c>
      <c r="C58" s="266" t="s">
        <v>300</v>
      </c>
      <c r="D58" s="225">
        <v>-958884.98</v>
      </c>
      <c r="E58" s="173">
        <f t="shared" si="7"/>
        <v>-0.06539776999079293</v>
      </c>
      <c r="F58" s="225">
        <v>-6257160.99</v>
      </c>
      <c r="G58" s="173">
        <f t="shared" si="8"/>
        <v>-0.41122464007876147</v>
      </c>
      <c r="H58" s="174">
        <f t="shared" si="9"/>
        <v>-84.67539861076835</v>
      </c>
      <c r="J58" s="90">
        <f t="shared" si="3"/>
        <v>5298276.01</v>
      </c>
    </row>
    <row r="59" spans="2:10" ht="12.75">
      <c r="B59" s="33" t="s">
        <v>208</v>
      </c>
      <c r="C59" s="266" t="s">
        <v>300</v>
      </c>
      <c r="D59" s="225">
        <v>-6444711.31</v>
      </c>
      <c r="E59" s="173">
        <f t="shared" si="7"/>
        <v>-0.4395415057063901</v>
      </c>
      <c r="F59" s="225">
        <v>-2440899.85</v>
      </c>
      <c r="G59" s="173">
        <f t="shared" si="8"/>
        <v>-0.16041750626022377</v>
      </c>
      <c r="H59" s="174">
        <f t="shared" si="9"/>
        <v>164.03014076960181</v>
      </c>
      <c r="J59" s="90">
        <f t="shared" si="3"/>
        <v>-4003811.4599999995</v>
      </c>
    </row>
    <row r="60" spans="2:10" ht="12.75">
      <c r="B60" s="33" t="s">
        <v>380</v>
      </c>
      <c r="C60" s="266" t="s">
        <v>299</v>
      </c>
      <c r="D60" s="225">
        <v>-32223556.53</v>
      </c>
      <c r="E60" s="173">
        <f t="shared" si="7"/>
        <v>-2.1977075271679127</v>
      </c>
      <c r="F60" s="225">
        <v>-12204499.25</v>
      </c>
      <c r="G60" s="173">
        <f t="shared" si="8"/>
        <v>-0.8020875313011189</v>
      </c>
      <c r="H60" s="174">
        <f t="shared" si="9"/>
        <v>164.03014060572784</v>
      </c>
      <c r="J60" s="90">
        <f t="shared" si="3"/>
        <v>-20019057.28</v>
      </c>
    </row>
    <row r="61" spans="2:10" ht="12.75">
      <c r="B61" s="33" t="s">
        <v>267</v>
      </c>
      <c r="C61" s="266" t="s">
        <v>303</v>
      </c>
      <c r="D61" s="225">
        <v>-14471519.1</v>
      </c>
      <c r="E61" s="173">
        <f t="shared" si="7"/>
        <v>-0.9869849849135887</v>
      </c>
      <c r="F61" s="225">
        <v>-2469010.52</v>
      </c>
      <c r="G61" s="173">
        <f t="shared" si="8"/>
        <v>-0.1622649575518874</v>
      </c>
      <c r="H61" s="174">
        <f t="shared" si="9"/>
        <v>486.1262632449213</v>
      </c>
      <c r="J61" s="90">
        <f t="shared" si="3"/>
        <v>-12002508.58</v>
      </c>
    </row>
    <row r="62" spans="2:10" ht="12.75">
      <c r="B62" s="33" t="s">
        <v>322</v>
      </c>
      <c r="C62" s="266" t="s">
        <v>302</v>
      </c>
      <c r="D62" s="225">
        <v>-1511993.4</v>
      </c>
      <c r="E62" s="173">
        <f t="shared" si="7"/>
        <v>-0.10312081079922326</v>
      </c>
      <c r="F62" s="225">
        <v>0</v>
      </c>
      <c r="G62" s="173">
        <f t="shared" si="8"/>
        <v>0</v>
      </c>
      <c r="H62" s="174">
        <v>100</v>
      </c>
      <c r="J62" s="90">
        <f t="shared" si="3"/>
        <v>-1511993.4</v>
      </c>
    </row>
    <row r="63" spans="2:10" ht="12.75">
      <c r="B63" s="33" t="s">
        <v>323</v>
      </c>
      <c r="C63" s="266" t="s">
        <v>302</v>
      </c>
      <c r="D63" s="225">
        <v>-382227.54</v>
      </c>
      <c r="E63" s="173">
        <f t="shared" si="7"/>
        <v>-0.02606864146007022</v>
      </c>
      <c r="F63" s="225">
        <v>0</v>
      </c>
      <c r="G63" s="173">
        <f t="shared" si="8"/>
        <v>0</v>
      </c>
      <c r="H63" s="174">
        <v>100</v>
      </c>
      <c r="J63" s="90">
        <f t="shared" si="3"/>
        <v>-382227.54</v>
      </c>
    </row>
    <row r="64" spans="2:10" ht="12.75">
      <c r="B64" s="33" t="s">
        <v>205</v>
      </c>
      <c r="C64" s="266"/>
      <c r="D64" s="225">
        <v>-8299793.18</v>
      </c>
      <c r="E64" s="173">
        <f t="shared" si="7"/>
        <v>-0.5660615993346687</v>
      </c>
      <c r="F64" s="225">
        <v>-5902192.37</v>
      </c>
      <c r="G64" s="173">
        <f t="shared" si="8"/>
        <v>-0.38789587432828104</v>
      </c>
      <c r="H64" s="174">
        <f>(((D64/F64)-1)*100)</f>
        <v>40.622207134194085</v>
      </c>
      <c r="J64" s="90">
        <f t="shared" si="3"/>
        <v>-2397600.8099999996</v>
      </c>
    </row>
    <row r="65" spans="2:10" ht="3" customHeight="1">
      <c r="B65" s="34"/>
      <c r="C65" s="267"/>
      <c r="D65" s="224"/>
      <c r="E65" s="173"/>
      <c r="F65" s="227"/>
      <c r="G65" s="173"/>
      <c r="H65" s="174"/>
      <c r="J65" s="90"/>
    </row>
    <row r="66" spans="2:10" ht="12.75">
      <c r="B66" s="230" t="s">
        <v>77</v>
      </c>
      <c r="C66" s="269"/>
      <c r="D66" s="231">
        <f>D57+D58+D59+D60+D61+D62+D63+D64</f>
        <v>1113311.990000032</v>
      </c>
      <c r="E66" s="229">
        <f>(D66/$D$21*100)</f>
        <v>0.07592998427195517</v>
      </c>
      <c r="F66" s="231">
        <f>F57+F58+F59+F60+F61+F62+F64</f>
        <v>1392396.509999984</v>
      </c>
      <c r="G66" s="229">
        <f>(F66/$F$21*100)</f>
        <v>0.0915091931607256</v>
      </c>
      <c r="H66" s="232">
        <f>(((D66/F66)-1)*100)</f>
        <v>-20.04346592336369</v>
      </c>
      <c r="J66" s="90">
        <f t="shared" si="3"/>
        <v>-279084.51999995206</v>
      </c>
    </row>
    <row r="67" spans="2:10" ht="3.75" customHeight="1">
      <c r="B67" s="182"/>
      <c r="C67" s="247"/>
      <c r="D67" s="99"/>
      <c r="E67" s="183"/>
      <c r="F67" s="99"/>
      <c r="G67" s="183"/>
      <c r="H67" s="90"/>
      <c r="J67" s="90"/>
    </row>
    <row r="68" spans="2:8" ht="12.75">
      <c r="B68" s="182"/>
      <c r="C68" s="247"/>
      <c r="D68" s="331"/>
      <c r="E68" s="331"/>
      <c r="F68" s="331"/>
      <c r="G68" s="331"/>
      <c r="H68" s="331"/>
    </row>
    <row r="69" spans="2:8" ht="11.25" customHeight="1">
      <c r="B69" s="182"/>
      <c r="C69" s="247"/>
      <c r="D69" s="99"/>
      <c r="E69" s="183"/>
      <c r="F69" s="99"/>
      <c r="G69" s="183"/>
      <c r="H69" s="184"/>
    </row>
    <row r="70" spans="2:8" ht="33.75" customHeight="1">
      <c r="B70" s="182"/>
      <c r="C70" s="247"/>
      <c r="D70" s="99"/>
      <c r="E70" s="183"/>
      <c r="F70" s="99"/>
      <c r="G70" s="183"/>
      <c r="H70" s="184"/>
    </row>
    <row r="71" spans="2:8" ht="12.75">
      <c r="B71" s="182"/>
      <c r="C71" s="247"/>
      <c r="D71" s="99"/>
      <c r="E71" s="183"/>
      <c r="F71" s="99"/>
      <c r="G71" s="183"/>
      <c r="H71" s="184"/>
    </row>
    <row r="72" spans="2:8" ht="12.75">
      <c r="B72" s="319"/>
      <c r="C72" s="319"/>
      <c r="D72" s="319"/>
      <c r="E72" s="319"/>
      <c r="F72" s="319"/>
      <c r="G72" s="319"/>
      <c r="H72" s="319"/>
    </row>
    <row r="73" spans="2:6" ht="12.75">
      <c r="B73" s="248"/>
      <c r="D73" s="88"/>
      <c r="F73" s="88"/>
    </row>
    <row r="74" spans="2:6" ht="12.75">
      <c r="B74" s="167"/>
      <c r="D74" s="88"/>
      <c r="F74" s="88"/>
    </row>
  </sheetData>
  <sheetProtection/>
  <mergeCells count="8">
    <mergeCell ref="B72:H72"/>
    <mergeCell ref="B2:H2"/>
    <mergeCell ref="B3:H3"/>
    <mergeCell ref="B4:H4"/>
    <mergeCell ref="B5:H5"/>
    <mergeCell ref="B48:H48"/>
    <mergeCell ref="B53:H53"/>
    <mergeCell ref="D68:H68"/>
  </mergeCells>
  <printOptions horizontalCentered="1"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showGridLines="0" zoomScale="130" zoomScaleNormal="130" zoomScaleSheetLayoutView="100" zoomScalePageLayoutView="0" workbookViewId="0" topLeftCell="A40">
      <selection activeCell="D52" sqref="D52"/>
    </sheetView>
  </sheetViews>
  <sheetFormatPr defaultColWidth="9.140625" defaultRowHeight="12.75"/>
  <cols>
    <col min="1" max="1" width="0.71875" style="1" customWidth="1"/>
    <col min="2" max="2" width="43.8515625" style="1" customWidth="1"/>
    <col min="3" max="5" width="23.7109375" style="1" customWidth="1"/>
    <col min="6" max="6" width="1.421875" style="1" customWidth="1"/>
    <col min="7" max="7" width="9.7109375" style="1" customWidth="1"/>
    <col min="8" max="10" width="9.140625" style="1" customWidth="1"/>
    <col min="11" max="11" width="13.00390625" style="1" bestFit="1" customWidth="1"/>
    <col min="12" max="16384" width="9.140625" style="1" customWidth="1"/>
  </cols>
  <sheetData>
    <row r="1" ht="3.75" customHeight="1">
      <c r="E1" s="185"/>
    </row>
    <row r="2" spans="2:5" ht="15" customHeight="1">
      <c r="B2" s="335" t="s">
        <v>366</v>
      </c>
      <c r="C2" s="335"/>
      <c r="D2" s="335"/>
      <c r="E2" s="335"/>
    </row>
    <row r="3" spans="2:5" ht="15" customHeight="1">
      <c r="B3" s="336" t="str">
        <f>DRE!B3</f>
        <v>CNPJ  00.000.000/0001-00</v>
      </c>
      <c r="C3" s="336"/>
      <c r="D3" s="336"/>
      <c r="E3" s="336"/>
    </row>
    <row r="4" spans="2:5" ht="15" customHeight="1">
      <c r="B4" s="337" t="s">
        <v>309</v>
      </c>
      <c r="C4" s="337"/>
      <c r="D4" s="337"/>
      <c r="E4" s="337"/>
    </row>
    <row r="5" spans="2:6" ht="15" customHeight="1">
      <c r="B5" s="337" t="s">
        <v>328</v>
      </c>
      <c r="C5" s="337"/>
      <c r="D5" s="337"/>
      <c r="E5" s="337"/>
      <c r="F5" s="186"/>
    </row>
    <row r="6" spans="2:6" ht="15" customHeight="1">
      <c r="B6" s="5"/>
      <c r="C6" s="5"/>
      <c r="D6" s="5"/>
      <c r="E6" s="5"/>
      <c r="F6" s="186"/>
    </row>
    <row r="7" spans="2:5" ht="18" customHeight="1">
      <c r="B7" s="338" t="s">
        <v>52</v>
      </c>
      <c r="C7" s="332">
        <v>43100</v>
      </c>
      <c r="D7" s="333"/>
      <c r="E7" s="334"/>
    </row>
    <row r="8" spans="2:6" ht="13.5" customHeight="1">
      <c r="B8" s="339"/>
      <c r="C8" s="187" t="s">
        <v>78</v>
      </c>
      <c r="D8" s="187" t="s">
        <v>79</v>
      </c>
      <c r="E8" s="188" t="s">
        <v>80</v>
      </c>
      <c r="F8" s="186"/>
    </row>
    <row r="9" spans="2:7" ht="12.75">
      <c r="B9" s="189" t="s">
        <v>319</v>
      </c>
      <c r="C9" s="100">
        <f>SUM(C10:C15)</f>
        <v>1255421197.6399999</v>
      </c>
      <c r="D9" s="4">
        <f>E9-C9</f>
        <v>230905454.49000025</v>
      </c>
      <c r="E9" s="100">
        <f>SUM(E10:E15)</f>
        <v>1486326652.13</v>
      </c>
      <c r="F9" s="186"/>
      <c r="G9" s="302">
        <f>D9/E9*100</f>
        <v>15.535310098833127</v>
      </c>
    </row>
    <row r="10" spans="2:7" ht="12.75">
      <c r="B10" s="35" t="s">
        <v>280</v>
      </c>
      <c r="C10" s="2">
        <v>435055167.92</v>
      </c>
      <c r="D10" s="2">
        <f>E10-C10</f>
        <v>79684638.32999998</v>
      </c>
      <c r="E10" s="2">
        <v>514739806.25</v>
      </c>
      <c r="G10" s="218">
        <f aca="true" t="shared" si="0" ref="G10:G48">D10/E10*100</f>
        <v>15.48056656245827</v>
      </c>
    </row>
    <row r="11" spans="2:7" ht="12.75">
      <c r="B11" s="35" t="s">
        <v>55</v>
      </c>
      <c r="C11" s="2">
        <v>290859419.63</v>
      </c>
      <c r="D11" s="2">
        <f aca="true" t="shared" si="1" ref="D11:D47">E11-C11</f>
        <v>69114467.57</v>
      </c>
      <c r="E11" s="2">
        <v>359973887.2</v>
      </c>
      <c r="G11" s="218">
        <f t="shared" si="0"/>
        <v>19.19985588610217</v>
      </c>
    </row>
    <row r="12" spans="2:7" ht="12.75">
      <c r="B12" s="190" t="s">
        <v>56</v>
      </c>
      <c r="C12" s="3">
        <v>7717527.88</v>
      </c>
      <c r="D12" s="2">
        <f t="shared" si="1"/>
        <v>16089264.25</v>
      </c>
      <c r="E12" s="3">
        <v>23806792.13</v>
      </c>
      <c r="G12" s="218">
        <f t="shared" si="0"/>
        <v>67.58266364549469</v>
      </c>
    </row>
    <row r="13" spans="2:7" ht="12.75">
      <c r="B13" s="190" t="s">
        <v>239</v>
      </c>
      <c r="C13" s="3">
        <v>55475605.76</v>
      </c>
      <c r="D13" s="2">
        <f t="shared" si="1"/>
        <v>59187587.49</v>
      </c>
      <c r="E13" s="3">
        <v>114663193.25</v>
      </c>
      <c r="G13" s="218">
        <f t="shared" si="0"/>
        <v>51.61864571567738</v>
      </c>
    </row>
    <row r="14" spans="2:7" ht="12.75">
      <c r="B14" s="190" t="s">
        <v>57</v>
      </c>
      <c r="C14" s="3">
        <v>464531654.08</v>
      </c>
      <c r="D14" s="2">
        <f t="shared" si="1"/>
        <v>5816351.680000007</v>
      </c>
      <c r="E14" s="3">
        <v>470348005.76</v>
      </c>
      <c r="G14" s="218">
        <f t="shared" si="0"/>
        <v>1.236606004229103</v>
      </c>
    </row>
    <row r="15" spans="2:7" ht="12.75">
      <c r="B15" s="190" t="s">
        <v>58</v>
      </c>
      <c r="C15" s="3">
        <v>1781822.37</v>
      </c>
      <c r="D15" s="2">
        <f t="shared" si="1"/>
        <v>1013145.1699999999</v>
      </c>
      <c r="E15" s="3">
        <v>2794967.54</v>
      </c>
      <c r="G15" s="218">
        <f t="shared" si="0"/>
        <v>36.24890648998378</v>
      </c>
    </row>
    <row r="16" spans="2:7" ht="12.75">
      <c r="B16" s="36" t="s">
        <v>59</v>
      </c>
      <c r="C16" s="4">
        <f>SUM(C17:C21)</f>
        <v>-8687821.85</v>
      </c>
      <c r="D16" s="4">
        <f>E16-C16</f>
        <v>-11403849.889999999</v>
      </c>
      <c r="E16" s="4">
        <f>SUM(E17:E21)</f>
        <v>-20091671.74</v>
      </c>
      <c r="G16" s="302">
        <f t="shared" si="0"/>
        <v>56.75908922648962</v>
      </c>
    </row>
    <row r="17" spans="2:7" ht="12.75">
      <c r="B17" s="190" t="s">
        <v>60</v>
      </c>
      <c r="C17" s="3">
        <v>-6640506.36</v>
      </c>
      <c r="D17" s="2">
        <f t="shared" si="1"/>
        <v>-997263.6499999994</v>
      </c>
      <c r="E17" s="6">
        <v>-7637770.01</v>
      </c>
      <c r="G17" s="218">
        <f t="shared" si="0"/>
        <v>13.057000259163335</v>
      </c>
    </row>
    <row r="18" spans="2:7" ht="12.75">
      <c r="B18" s="190" t="s">
        <v>61</v>
      </c>
      <c r="C18" s="3">
        <v>-96959.87</v>
      </c>
      <c r="D18" s="2">
        <f t="shared" si="1"/>
        <v>-8530703.49</v>
      </c>
      <c r="E18" s="6">
        <v>-8627663.36</v>
      </c>
      <c r="G18" s="218">
        <f t="shared" si="0"/>
        <v>98.87617462626638</v>
      </c>
    </row>
    <row r="19" spans="2:7" ht="12.75">
      <c r="B19" s="190" t="s">
        <v>62</v>
      </c>
      <c r="C19" s="3">
        <v>-21694.5</v>
      </c>
      <c r="D19" s="2">
        <f t="shared" si="1"/>
        <v>-1851415.58</v>
      </c>
      <c r="E19" s="6">
        <v>-1873110.08</v>
      </c>
      <c r="G19" s="218">
        <f t="shared" si="0"/>
        <v>98.8417925763338</v>
      </c>
    </row>
    <row r="20" spans="2:7" ht="12.75">
      <c r="B20" s="35" t="s">
        <v>200</v>
      </c>
      <c r="C20" s="3">
        <v>-1926503.43</v>
      </c>
      <c r="D20" s="2">
        <f t="shared" si="1"/>
        <v>-24121.550000000047</v>
      </c>
      <c r="E20" s="6">
        <v>-1950624.98</v>
      </c>
      <c r="G20" s="218">
        <f t="shared" si="0"/>
        <v>1.2366062286355035</v>
      </c>
    </row>
    <row r="21" spans="2:7" ht="12.75">
      <c r="B21" s="35" t="s">
        <v>310</v>
      </c>
      <c r="C21" s="3">
        <v>-2157.69</v>
      </c>
      <c r="D21" s="2">
        <f t="shared" si="1"/>
        <v>-345.6199999999999</v>
      </c>
      <c r="E21" s="6">
        <v>-2503.31</v>
      </c>
      <c r="G21" s="218">
        <f t="shared" si="0"/>
        <v>13.806520167298492</v>
      </c>
    </row>
    <row r="22" spans="2:7" ht="12.75">
      <c r="B22" s="36" t="s">
        <v>320</v>
      </c>
      <c r="C22" s="4">
        <f>C9+C16</f>
        <v>1246733375.79</v>
      </c>
      <c r="D22" s="4">
        <f t="shared" si="1"/>
        <v>219501604.60000014</v>
      </c>
      <c r="E22" s="4">
        <f>E9+E16</f>
        <v>1466234980.39</v>
      </c>
      <c r="G22" s="218">
        <f t="shared" si="0"/>
        <v>14.970424763813469</v>
      </c>
    </row>
    <row r="23" spans="2:7" ht="12.75">
      <c r="B23" s="36" t="s">
        <v>321</v>
      </c>
      <c r="C23" s="4">
        <f>C24+C25+C26+C27+C28+C29</f>
        <v>-1023915277.1300001</v>
      </c>
      <c r="D23" s="4">
        <f t="shared" si="1"/>
        <v>-183576911.78999972</v>
      </c>
      <c r="E23" s="4">
        <f>SUM(E24:E29)</f>
        <v>-1207492188.9199998</v>
      </c>
      <c r="G23" s="302">
        <f t="shared" si="0"/>
        <v>15.203155223239484</v>
      </c>
    </row>
    <row r="24" spans="2:8" ht="13.5" customHeight="1">
      <c r="B24" s="35" t="s">
        <v>63</v>
      </c>
      <c r="C24" s="2">
        <v>-407983195.31</v>
      </c>
      <c r="D24" s="2">
        <f>E24-C24</f>
        <v>-74821414.64999998</v>
      </c>
      <c r="E24" s="3">
        <v>-482804609.96</v>
      </c>
      <c r="G24" s="218">
        <f t="shared" si="0"/>
        <v>15.497245284422384</v>
      </c>
      <c r="H24" s="218">
        <f aca="true" t="shared" si="2" ref="H24:H29">G10</f>
        <v>15.48056656245827</v>
      </c>
    </row>
    <row r="25" spans="2:8" ht="13.5" customHeight="1">
      <c r="B25" s="35" t="s">
        <v>64</v>
      </c>
      <c r="C25" s="2">
        <v>-233337467.59</v>
      </c>
      <c r="D25" s="2">
        <f t="shared" si="1"/>
        <v>-50037905.02000001</v>
      </c>
      <c r="E25" s="3">
        <v>-283375372.61</v>
      </c>
      <c r="G25" s="218">
        <f t="shared" si="0"/>
        <v>17.657817106381188</v>
      </c>
      <c r="H25" s="218">
        <f t="shared" si="2"/>
        <v>19.19985588610217</v>
      </c>
    </row>
    <row r="26" spans="2:8" ht="13.5" customHeight="1">
      <c r="B26" s="35" t="s">
        <v>65</v>
      </c>
      <c r="C26" s="2">
        <v>-6101960.19</v>
      </c>
      <c r="D26" s="2">
        <f t="shared" si="1"/>
        <v>-11892333.049999997</v>
      </c>
      <c r="E26" s="3">
        <v>-17994293.24</v>
      </c>
      <c r="G26" s="218">
        <f t="shared" si="0"/>
        <v>66.08947009690944</v>
      </c>
      <c r="H26" s="218">
        <f t="shared" si="2"/>
        <v>67.58266364549469</v>
      </c>
    </row>
    <row r="27" spans="2:8" ht="13.5" customHeight="1">
      <c r="B27" s="35" t="s">
        <v>66</v>
      </c>
      <c r="C27" s="2">
        <v>-40345673.13</v>
      </c>
      <c r="D27" s="2">
        <f t="shared" si="1"/>
        <v>-40369547.15</v>
      </c>
      <c r="E27" s="3">
        <v>-80715220.28</v>
      </c>
      <c r="G27" s="218">
        <f t="shared" si="0"/>
        <v>50.01478904469143</v>
      </c>
      <c r="H27" s="218">
        <f t="shared" si="2"/>
        <v>51.61864571567738</v>
      </c>
    </row>
    <row r="28" spans="2:8" ht="13.5" customHeight="1">
      <c r="B28" s="35" t="s">
        <v>67</v>
      </c>
      <c r="C28" s="2">
        <v>-332108788.67</v>
      </c>
      <c r="D28" s="2">
        <f t="shared" si="1"/>
        <v>-4159593.649999976</v>
      </c>
      <c r="E28" s="3">
        <v>-336268382.32</v>
      </c>
      <c r="G28" s="218">
        <f t="shared" si="0"/>
        <v>1.236986249287517</v>
      </c>
      <c r="H28" s="218">
        <f t="shared" si="2"/>
        <v>1.236606004229103</v>
      </c>
    </row>
    <row r="29" spans="2:8" ht="13.5" customHeight="1">
      <c r="B29" s="35" t="s">
        <v>316</v>
      </c>
      <c r="C29" s="2">
        <v>-4038192.24</v>
      </c>
      <c r="D29" s="2">
        <f t="shared" si="1"/>
        <v>-2296118.2699999996</v>
      </c>
      <c r="E29" s="3">
        <v>-6334310.51</v>
      </c>
      <c r="G29" s="218">
        <f t="shared" si="0"/>
        <v>36.248906118118285</v>
      </c>
      <c r="H29" s="218">
        <f t="shared" si="2"/>
        <v>36.24890648998378</v>
      </c>
    </row>
    <row r="30" spans="2:7" ht="12.75">
      <c r="B30" s="36" t="s">
        <v>248</v>
      </c>
      <c r="C30" s="4">
        <f>C22+C23</f>
        <v>222818098.65999985</v>
      </c>
      <c r="D30" s="4">
        <f t="shared" si="1"/>
        <v>35924692.81000042</v>
      </c>
      <c r="E30" s="4">
        <f>E22+E23</f>
        <v>258742791.47000027</v>
      </c>
      <c r="G30" s="218">
        <f t="shared" si="0"/>
        <v>13.884326054419057</v>
      </c>
    </row>
    <row r="31" spans="2:7" ht="12.75">
      <c r="B31" s="36" t="s">
        <v>68</v>
      </c>
      <c r="C31" s="4">
        <f>SUM(C32:C35)</f>
        <v>-163386589.34</v>
      </c>
      <c r="D31" s="4">
        <f>E31-C31</f>
        <v>-34106196.96000004</v>
      </c>
      <c r="E31" s="4">
        <f>SUM(E32:E35)</f>
        <v>-197492786.30000004</v>
      </c>
      <c r="G31" s="218">
        <f t="shared" si="0"/>
        <v>17.26959125898971</v>
      </c>
    </row>
    <row r="32" spans="2:7" ht="12.75">
      <c r="B32" s="35" t="s">
        <v>250</v>
      </c>
      <c r="C32" s="3">
        <v>-34503257.55</v>
      </c>
      <c r="D32" s="2">
        <f t="shared" si="1"/>
        <v>-7538742.060000002</v>
      </c>
      <c r="E32" s="3">
        <v>-42041999.61</v>
      </c>
      <c r="G32" s="218">
        <f t="shared" si="0"/>
        <v>17.931454569080145</v>
      </c>
    </row>
    <row r="33" spans="2:7" ht="12.75">
      <c r="B33" s="35" t="s">
        <v>251</v>
      </c>
      <c r="C33" s="3">
        <f>-(30347905.27+10009874.21)</f>
        <v>-40357779.480000004</v>
      </c>
      <c r="D33" s="2">
        <f t="shared" si="1"/>
        <v>-9324106.43</v>
      </c>
      <c r="E33" s="3">
        <f>-(37788300.34+11893585.57)</f>
        <v>-49681885.910000004</v>
      </c>
      <c r="G33" s="218">
        <f t="shared" si="0"/>
        <v>18.767617732730304</v>
      </c>
    </row>
    <row r="34" spans="2:7" ht="12.75">
      <c r="B34" s="35" t="s">
        <v>252</v>
      </c>
      <c r="C34" s="3">
        <v>-79464158.98</v>
      </c>
      <c r="D34" s="2">
        <f t="shared" si="1"/>
        <v>-13435037.530000001</v>
      </c>
      <c r="E34" s="3">
        <v>-92899196.51</v>
      </c>
      <c r="G34" s="218">
        <f t="shared" si="0"/>
        <v>14.461952346976226</v>
      </c>
    </row>
    <row r="35" spans="2:11" ht="12.75">
      <c r="B35" s="35" t="s">
        <v>253</v>
      </c>
      <c r="C35" s="3">
        <v>-9061393.33</v>
      </c>
      <c r="D35" s="2">
        <f t="shared" si="1"/>
        <v>-3808310.9399999995</v>
      </c>
      <c r="E35" s="3">
        <v>-12869704.27</v>
      </c>
      <c r="G35" s="218">
        <f t="shared" si="0"/>
        <v>29.591285550184594</v>
      </c>
      <c r="K35" s="296">
        <f>D35/E35</f>
        <v>0.29591285550184593</v>
      </c>
    </row>
    <row r="36" spans="2:7" ht="12.75">
      <c r="B36" s="36" t="s">
        <v>317</v>
      </c>
      <c r="C36" s="4">
        <v>14155267.6</v>
      </c>
      <c r="D36" s="4">
        <f t="shared" si="1"/>
        <v>2675044.0200000014</v>
      </c>
      <c r="E36" s="4">
        <v>16830311.62</v>
      </c>
      <c r="G36" s="218">
        <f t="shared" si="0"/>
        <v>15.894203746181148</v>
      </c>
    </row>
    <row r="37" spans="2:7" s="318" customFormat="1" ht="13.5" customHeight="1">
      <c r="B37" s="305" t="s">
        <v>318</v>
      </c>
      <c r="C37" s="306">
        <f>C30+C31+C36</f>
        <v>73586776.91999984</v>
      </c>
      <c r="D37" s="306">
        <f>E37-C37</f>
        <v>4493539.870000392</v>
      </c>
      <c r="E37" s="306">
        <f>E30+E31+E36</f>
        <v>78080316.79000023</v>
      </c>
      <c r="G37" s="302">
        <f t="shared" si="0"/>
        <v>5.755022590502452</v>
      </c>
    </row>
    <row r="38" spans="2:7" ht="12.75">
      <c r="B38" s="36" t="s">
        <v>69</v>
      </c>
      <c r="C38" s="4">
        <f>SUM(C39:C43)</f>
        <v>-15107313.380000003</v>
      </c>
      <c r="D38" s="4">
        <f>E38-C38</f>
        <v>-3718480.4499999993</v>
      </c>
      <c r="E38" s="4">
        <f>SUM(E39:E43)</f>
        <v>-18825793.830000002</v>
      </c>
      <c r="G38" s="218">
        <f t="shared" si="0"/>
        <v>19.752051273792148</v>
      </c>
    </row>
    <row r="39" spans="2:7" ht="12.75">
      <c r="B39" s="190" t="s">
        <v>70</v>
      </c>
      <c r="C39" s="3">
        <v>-32610481.85</v>
      </c>
      <c r="D39" s="2">
        <f t="shared" si="1"/>
        <v>-5745213.280000001</v>
      </c>
      <c r="E39" s="3">
        <v>-38355695.13</v>
      </c>
      <c r="G39" s="218">
        <f t="shared" si="0"/>
        <v>14.97877501770622</v>
      </c>
    </row>
    <row r="40" spans="2:7" ht="12.75">
      <c r="B40" s="190" t="s">
        <v>71</v>
      </c>
      <c r="C40" s="3">
        <v>18485943.38</v>
      </c>
      <c r="D40" s="2">
        <f t="shared" si="1"/>
        <v>1580641.080000002</v>
      </c>
      <c r="E40" s="3">
        <v>20066584.46</v>
      </c>
      <c r="G40" s="218">
        <f t="shared" si="0"/>
        <v>7.876981173107931</v>
      </c>
    </row>
    <row r="41" spans="2:11" ht="12.75">
      <c r="B41" s="35" t="s">
        <v>257</v>
      </c>
      <c r="C41" s="6">
        <v>0</v>
      </c>
      <c r="D41" s="303">
        <f t="shared" si="1"/>
        <v>28461010.51</v>
      </c>
      <c r="E41" s="6">
        <v>28461010.51</v>
      </c>
      <c r="G41" s="218">
        <f t="shared" si="0"/>
        <v>100</v>
      </c>
      <c r="K41" s="207">
        <f>D41*4.65%</f>
        <v>1323436.9887150002</v>
      </c>
    </row>
    <row r="42" spans="2:11" ht="12.75">
      <c r="B42" s="35" t="s">
        <v>273</v>
      </c>
      <c r="C42" s="6">
        <v>0</v>
      </c>
      <c r="D42" s="303">
        <f>E42-C42</f>
        <v>-27834160.23</v>
      </c>
      <c r="E42" s="6">
        <v>-27834160.23</v>
      </c>
      <c r="G42" s="218">
        <f t="shared" si="0"/>
        <v>100</v>
      </c>
      <c r="K42" s="207">
        <f>D41+D42</f>
        <v>626850.2800000012</v>
      </c>
    </row>
    <row r="43" spans="2:7" ht="12.75">
      <c r="B43" s="35" t="s">
        <v>72</v>
      </c>
      <c r="C43" s="304">
        <v>-982774.91</v>
      </c>
      <c r="D43" s="303">
        <f t="shared" si="1"/>
        <v>-180758.5299999999</v>
      </c>
      <c r="E43" s="303">
        <v>-1163533.44</v>
      </c>
      <c r="G43" s="218">
        <f t="shared" si="0"/>
        <v>15.535310270068381</v>
      </c>
    </row>
    <row r="44" spans="2:7" ht="12.75">
      <c r="B44" s="36" t="s">
        <v>73</v>
      </c>
      <c r="C44" s="4">
        <f>SUM(C37+C38)</f>
        <v>58479463.539999835</v>
      </c>
      <c r="D44" s="4">
        <f>E44-C44</f>
        <v>775059.4200003967</v>
      </c>
      <c r="E44" s="4">
        <f>E37+E38</f>
        <v>59254522.96000023</v>
      </c>
      <c r="G44" s="218">
        <f t="shared" si="0"/>
        <v>1.3080173145999345</v>
      </c>
    </row>
    <row r="45" spans="2:7" ht="12.75">
      <c r="B45" s="35" t="s">
        <v>74</v>
      </c>
      <c r="C45" s="6">
        <v>0</v>
      </c>
      <c r="D45" s="2">
        <f t="shared" si="1"/>
        <v>-334884.25</v>
      </c>
      <c r="E45" s="6">
        <v>-334884.25</v>
      </c>
      <c r="G45" s="218">
        <f t="shared" si="0"/>
        <v>100</v>
      </c>
    </row>
    <row r="46" spans="2:7" ht="13.5" customHeight="1">
      <c r="B46" s="35" t="s">
        <v>75</v>
      </c>
      <c r="C46" s="6">
        <v>0</v>
      </c>
      <c r="D46" s="2">
        <f t="shared" si="1"/>
        <v>-882230.44</v>
      </c>
      <c r="E46" s="6">
        <v>-882230.44</v>
      </c>
      <c r="G46" s="218">
        <f t="shared" si="0"/>
        <v>100</v>
      </c>
    </row>
    <row r="47" spans="2:7" ht="13.5" customHeight="1">
      <c r="B47" s="33" t="s">
        <v>238</v>
      </c>
      <c r="C47" s="6">
        <v>0</v>
      </c>
      <c r="D47" s="2">
        <f t="shared" si="1"/>
        <v>5584.78</v>
      </c>
      <c r="E47" s="6">
        <v>5584.78</v>
      </c>
      <c r="G47" s="218">
        <f t="shared" si="0"/>
        <v>100</v>
      </c>
    </row>
    <row r="48" spans="2:7" ht="12.75">
      <c r="B48" s="305" t="s">
        <v>81</v>
      </c>
      <c r="C48" s="306">
        <f>C44+C45+C46</f>
        <v>58479463.539999835</v>
      </c>
      <c r="D48" s="306">
        <f aca="true" t="shared" si="3" ref="D48:D53">E48-C48</f>
        <v>-436470.48999959975</v>
      </c>
      <c r="E48" s="306">
        <f>E44+E45+E46+E47</f>
        <v>58042993.050000235</v>
      </c>
      <c r="G48" s="218">
        <f t="shared" si="0"/>
        <v>-0.751977916823843</v>
      </c>
    </row>
    <row r="49" spans="2:7" ht="12.75">
      <c r="B49" s="36" t="s">
        <v>131</v>
      </c>
      <c r="C49" s="4">
        <f>C50</f>
        <v>1400362.07</v>
      </c>
      <c r="D49" s="4">
        <f t="shared" si="3"/>
        <v>302208.27</v>
      </c>
      <c r="E49" s="4">
        <f>E50</f>
        <v>1702570.34</v>
      </c>
      <c r="G49" s="218"/>
    </row>
    <row r="50" spans="2:5" ht="12.75">
      <c r="B50" s="35" t="s">
        <v>196</v>
      </c>
      <c r="C50" s="2">
        <v>1400362.07</v>
      </c>
      <c r="D50" s="2">
        <f t="shared" si="3"/>
        <v>302208.27</v>
      </c>
      <c r="E50" s="2">
        <v>1702570.34</v>
      </c>
    </row>
    <row r="51" spans="2:5" ht="12.75">
      <c r="B51" s="31" t="s">
        <v>133</v>
      </c>
      <c r="C51" s="4">
        <f>C48+C49</f>
        <v>59879825.609999835</v>
      </c>
      <c r="D51" s="4">
        <f t="shared" si="3"/>
        <v>-134262.21999959648</v>
      </c>
      <c r="E51" s="4">
        <f>E48+E49</f>
        <v>59745563.39000024</v>
      </c>
    </row>
    <row r="52" spans="2:5" ht="12.75">
      <c r="B52" s="30" t="s">
        <v>266</v>
      </c>
      <c r="C52" s="2">
        <v>6043907.27</v>
      </c>
      <c r="D52" s="2">
        <f t="shared" si="3"/>
        <v>1111635.8000000007</v>
      </c>
      <c r="E52" s="2">
        <v>7155543.07</v>
      </c>
    </row>
    <row r="53" spans="2:5" ht="12.75">
      <c r="B53" s="35" t="s">
        <v>132</v>
      </c>
      <c r="C53" s="2">
        <v>-1476619.83</v>
      </c>
      <c r="D53" s="2">
        <f t="shared" si="3"/>
        <v>-18488.59999999986</v>
      </c>
      <c r="E53" s="301">
        <v>-1495108.43</v>
      </c>
    </row>
    <row r="54" spans="2:5" ht="12.75">
      <c r="B54" s="36" t="s">
        <v>255</v>
      </c>
      <c r="C54" s="4">
        <f>SUM(C51:C53)</f>
        <v>64447113.04999983</v>
      </c>
      <c r="D54" s="4">
        <f>SUM(D51:D53)</f>
        <v>958884.9800004044</v>
      </c>
      <c r="E54" s="4">
        <f>SUM(E51:E53)</f>
        <v>65405998.03000024</v>
      </c>
    </row>
    <row r="55" spans="2:5" ht="12.75">
      <c r="B55" s="35" t="s">
        <v>380</v>
      </c>
      <c r="C55" s="2">
        <f>DRE!D60</f>
        <v>-32223556.53</v>
      </c>
      <c r="D55" s="2">
        <v>0</v>
      </c>
      <c r="E55" s="2">
        <f>C55</f>
        <v>-32223556.53</v>
      </c>
    </row>
    <row r="56" spans="2:5" ht="12.75">
      <c r="B56" s="35" t="s">
        <v>208</v>
      </c>
      <c r="C56" s="2">
        <f>DRE!D59</f>
        <v>-6444711.31</v>
      </c>
      <c r="D56" s="2">
        <f>DRE!D58</f>
        <v>-958884.98</v>
      </c>
      <c r="E56" s="2">
        <f>C56+D56</f>
        <v>-7403596.289999999</v>
      </c>
    </row>
    <row r="57" spans="2:5" ht="12.75">
      <c r="B57" s="35" t="s">
        <v>267</v>
      </c>
      <c r="C57" s="2">
        <f>DRE!D61</f>
        <v>-14471519.1</v>
      </c>
      <c r="D57" s="2">
        <v>0</v>
      </c>
      <c r="E57" s="2">
        <f>C57-D57</f>
        <v>-14471519.1</v>
      </c>
    </row>
    <row r="58" spans="2:5" ht="12.75">
      <c r="B58" s="33" t="s">
        <v>322</v>
      </c>
      <c r="C58" s="2">
        <f>DRE!D62</f>
        <v>-1511993.4</v>
      </c>
      <c r="D58" s="2">
        <v>0</v>
      </c>
      <c r="E58" s="2">
        <f>C58-D58</f>
        <v>-1511993.4</v>
      </c>
    </row>
    <row r="59" spans="2:6" ht="12.75">
      <c r="B59" s="30" t="s">
        <v>323</v>
      </c>
      <c r="C59" s="2">
        <f>DRE!D63</f>
        <v>-382227.54</v>
      </c>
      <c r="D59" s="190"/>
      <c r="E59" s="2">
        <f>C59-D59</f>
        <v>-382227.54</v>
      </c>
      <c r="F59" s="38"/>
    </row>
    <row r="60" spans="2:5" ht="12.75">
      <c r="B60" s="238" t="s">
        <v>205</v>
      </c>
      <c r="C60" s="2">
        <f>DRE!D64</f>
        <v>-8299793.18</v>
      </c>
      <c r="D60" s="2">
        <v>0</v>
      </c>
      <c r="E60" s="2">
        <f>C60-D60</f>
        <v>-8299793.18</v>
      </c>
    </row>
    <row r="61" spans="2:7" ht="12.75">
      <c r="B61" s="241" t="s">
        <v>198</v>
      </c>
      <c r="C61" s="242">
        <f>SUM(C54:C60)</f>
        <v>1113311.9899998344</v>
      </c>
      <c r="D61" s="243">
        <f>SUM(D54:D60)</f>
        <v>4.0442682802677155E-07</v>
      </c>
      <c r="E61" s="242">
        <f>C61+D61</f>
        <v>1113311.9900002389</v>
      </c>
      <c r="F61" s="191"/>
      <c r="G61" s="191"/>
    </row>
    <row r="62" spans="2:5" ht="5.25" customHeight="1">
      <c r="B62" s="192"/>
      <c r="C62" s="7"/>
      <c r="D62" s="7"/>
      <c r="E62" s="193"/>
    </row>
    <row r="63" spans="2:5" ht="12.75">
      <c r="B63" s="194"/>
      <c r="C63" s="299"/>
      <c r="D63" s="8"/>
      <c r="E63" s="205"/>
    </row>
    <row r="64" spans="2:5" ht="20.25" customHeight="1">
      <c r="B64" s="194"/>
      <c r="C64" s="8"/>
      <c r="D64" s="8"/>
      <c r="E64" s="195"/>
    </row>
    <row r="65" spans="2:5" ht="30" customHeight="1">
      <c r="B65" s="194"/>
      <c r="C65" s="9"/>
      <c r="D65" s="7"/>
      <c r="E65" s="196"/>
    </row>
    <row r="66" spans="2:5" ht="12.75">
      <c r="B66" s="194"/>
      <c r="C66" s="8"/>
      <c r="D66" s="8"/>
      <c r="E66" s="195"/>
    </row>
    <row r="67" spans="2:7" ht="12.75">
      <c r="B67" s="10"/>
      <c r="C67" s="10"/>
      <c r="D67" s="10"/>
      <c r="E67" s="10"/>
      <c r="F67" s="10"/>
      <c r="G67" s="10"/>
    </row>
    <row r="68" spans="2:5" ht="12.75">
      <c r="B68" s="197"/>
      <c r="C68" s="10"/>
      <c r="D68" s="10"/>
      <c r="E68" s="10"/>
    </row>
    <row r="69" spans="2:5" ht="12.75">
      <c r="B69" s="197"/>
      <c r="C69" s="10"/>
      <c r="D69" s="10"/>
      <c r="E69" s="10"/>
    </row>
  </sheetData>
  <sheetProtection/>
  <mergeCells count="6">
    <mergeCell ref="C7:E7"/>
    <mergeCell ref="B2:E2"/>
    <mergeCell ref="B3:E3"/>
    <mergeCell ref="B4:E4"/>
    <mergeCell ref="B5:E5"/>
    <mergeCell ref="B7:B8"/>
  </mergeCells>
  <printOptions horizontalCentered="1"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showGridLines="0" zoomScale="145" zoomScaleNormal="145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1.1484375" style="1" customWidth="1"/>
    <col min="2" max="2" width="52.421875" style="1" customWidth="1"/>
    <col min="3" max="3" width="21.8515625" style="11" customWidth="1"/>
    <col min="4" max="4" width="22.57421875" style="11" customWidth="1"/>
    <col min="5" max="5" width="3.140625" style="1" customWidth="1"/>
    <col min="6" max="6" width="17.140625" style="1" customWidth="1"/>
    <col min="7" max="7" width="14.28125" style="1" customWidth="1"/>
    <col min="8" max="9" width="9.140625" style="1" customWidth="1"/>
    <col min="10" max="10" width="14.421875" style="191" bestFit="1" customWidth="1"/>
    <col min="11" max="16384" width="9.140625" style="1" customWidth="1"/>
  </cols>
  <sheetData>
    <row r="1" spans="2:6" ht="15" customHeight="1">
      <c r="B1" s="335" t="s">
        <v>366</v>
      </c>
      <c r="C1" s="335"/>
      <c r="D1" s="335"/>
      <c r="E1" s="63"/>
      <c r="F1" s="198"/>
    </row>
    <row r="2" spans="2:6" ht="15" customHeight="1">
      <c r="B2" s="336" t="str">
        <f>'DRE AT'!B3:E3</f>
        <v>CNPJ  00.000.000/0001-00</v>
      </c>
      <c r="C2" s="336"/>
      <c r="D2" s="336"/>
      <c r="E2" s="119"/>
      <c r="F2" s="199"/>
    </row>
    <row r="3" spans="2:6" ht="15" customHeight="1">
      <c r="B3" s="337" t="s">
        <v>309</v>
      </c>
      <c r="C3" s="337"/>
      <c r="D3" s="337"/>
      <c r="E3" s="200"/>
      <c r="F3" s="200"/>
    </row>
    <row r="4" spans="2:4" ht="15" customHeight="1">
      <c r="B4" s="337" t="s">
        <v>170</v>
      </c>
      <c r="C4" s="337"/>
      <c r="D4" s="337"/>
    </row>
    <row r="5" spans="2:4" ht="15" customHeight="1">
      <c r="B5" s="201"/>
      <c r="C5" s="201"/>
      <c r="D5" s="201"/>
    </row>
    <row r="6" spans="2:4" ht="15.75">
      <c r="B6" s="202" t="s">
        <v>171</v>
      </c>
      <c r="C6" s="261">
        <v>43100</v>
      </c>
      <c r="D6" s="261">
        <v>42735</v>
      </c>
    </row>
    <row r="7" spans="2:4" ht="12.75">
      <c r="B7" s="40" t="s">
        <v>89</v>
      </c>
      <c r="C7" s="15"/>
      <c r="D7" s="41"/>
    </row>
    <row r="8" spans="2:4" ht="12.75">
      <c r="B8" s="37" t="s">
        <v>90</v>
      </c>
      <c r="C8" s="308">
        <f>DRE!D47</f>
        <v>58042993.05000003</v>
      </c>
      <c r="D8" s="17">
        <v>26112960.189999983</v>
      </c>
    </row>
    <row r="9" spans="2:4" ht="6.75" customHeight="1">
      <c r="B9" s="38"/>
      <c r="C9" s="13"/>
      <c r="D9" s="39"/>
    </row>
    <row r="10" spans="2:6" ht="12.75">
      <c r="B10" s="40" t="s">
        <v>91</v>
      </c>
      <c r="C10" s="15"/>
      <c r="D10" s="41"/>
      <c r="F10" s="191"/>
    </row>
    <row r="11" spans="2:4" ht="12.75">
      <c r="B11" s="38" t="s">
        <v>241</v>
      </c>
      <c r="C11" s="16">
        <f>'BP'!G55+'BP'!G67-(74935.54+10834.07+121333.58+33627.66)</f>
        <v>23290594.259999994</v>
      </c>
      <c r="D11" s="18">
        <v>22026107.809999995</v>
      </c>
    </row>
    <row r="12" spans="2:5" ht="12.75">
      <c r="B12" s="30" t="s">
        <v>268</v>
      </c>
      <c r="C12" s="310">
        <f>6232370.36</f>
        <v>6232370.36</v>
      </c>
      <c r="D12" s="42">
        <v>12785111</v>
      </c>
      <c r="E12" s="191"/>
    </row>
    <row r="13" spans="2:4" ht="12.75" hidden="1">
      <c r="B13" s="30" t="s">
        <v>92</v>
      </c>
      <c r="C13" s="142">
        <v>0</v>
      </c>
      <c r="D13" s="42">
        <v>0</v>
      </c>
    </row>
    <row r="14" spans="2:4" ht="12.75">
      <c r="B14" s="30" t="s">
        <v>269</v>
      </c>
      <c r="C14" s="311">
        <f>-257450+74935.54+10834.07+121333.58+33627.66</f>
        <v>-16719.15000000001</v>
      </c>
      <c r="D14" s="42">
        <v>-14601.679999999986</v>
      </c>
    </row>
    <row r="15" spans="2:4" ht="12.75">
      <c r="B15" s="30" t="s">
        <v>270</v>
      </c>
      <c r="C15" s="16">
        <f>-'BP'!G118</f>
        <v>5090123.94</v>
      </c>
      <c r="D15" s="239">
        <v>267518.74</v>
      </c>
    </row>
    <row r="16" spans="2:4" ht="12.75">
      <c r="B16" s="30" t="s">
        <v>382</v>
      </c>
      <c r="C16" s="16">
        <f>'BP'!G45+'BP'!G21</f>
        <v>230481.04000000004</v>
      </c>
      <c r="D16" s="239">
        <v>1922955.6999999997</v>
      </c>
    </row>
    <row r="17" spans="2:4" ht="12.75">
      <c r="B17" s="37" t="s">
        <v>93</v>
      </c>
      <c r="C17" s="308">
        <f>C8+SUM(C11:C16)</f>
        <v>92869843.50000003</v>
      </c>
      <c r="D17" s="17">
        <f>D8+SUM(D11:D16)</f>
        <v>63100051.75999998</v>
      </c>
    </row>
    <row r="18" spans="2:4" ht="6.75" customHeight="1">
      <c r="B18" s="38"/>
      <c r="C18" s="13"/>
      <c r="D18" s="39"/>
    </row>
    <row r="19" spans="2:4" ht="12.75">
      <c r="B19" s="40" t="s">
        <v>94</v>
      </c>
      <c r="C19" s="15"/>
      <c r="D19" s="41"/>
    </row>
    <row r="20" spans="2:11" ht="12.75">
      <c r="B20" s="38" t="s">
        <v>213</v>
      </c>
      <c r="C20" s="213">
        <f>-'BP'!H15-'BP'!H16-'BP'!H17-'BP'!H18-'BP'!H25</f>
        <v>1662840.180000008</v>
      </c>
      <c r="D20" s="42">
        <v>3133777.250000005</v>
      </c>
      <c r="K20" s="207"/>
    </row>
    <row r="21" spans="2:11" ht="12.75">
      <c r="B21" s="38" t="s">
        <v>214</v>
      </c>
      <c r="C21" s="213">
        <f>-'BP'!H20</f>
        <v>-220287.13999999966</v>
      </c>
      <c r="D21" s="42">
        <v>-2349998.8100000005</v>
      </c>
      <c r="K21" s="207"/>
    </row>
    <row r="22" spans="2:11" ht="12.75">
      <c r="B22" s="38" t="s">
        <v>215</v>
      </c>
      <c r="C22" s="213">
        <f>-'BP'!H23</f>
        <v>287712.45999999903</v>
      </c>
      <c r="D22" s="42">
        <v>-2215978.799999999</v>
      </c>
      <c r="K22" s="207"/>
    </row>
    <row r="23" spans="2:11" ht="12.75">
      <c r="B23" s="38" t="s">
        <v>216</v>
      </c>
      <c r="C23" s="213">
        <f>-'BP'!H19</f>
        <v>-52955203.05</v>
      </c>
      <c r="D23" s="42">
        <v>-3017058.1499999985</v>
      </c>
      <c r="K23" s="207"/>
    </row>
    <row r="24" spans="2:11" ht="12.75">
      <c r="B24" s="38" t="s">
        <v>217</v>
      </c>
      <c r="C24" s="213">
        <f>-'BP'!H27</f>
        <v>-16563691.310000032</v>
      </c>
      <c r="D24" s="42">
        <v>-23998519.089999974</v>
      </c>
      <c r="K24" s="207"/>
    </row>
    <row r="25" spans="2:11" ht="12.75">
      <c r="B25" s="38" t="s">
        <v>218</v>
      </c>
      <c r="C25" s="213">
        <f>-'BP'!H35</f>
        <v>260030.40999999992</v>
      </c>
      <c r="D25" s="42">
        <v>-497509.6699999999</v>
      </c>
      <c r="K25" s="207"/>
    </row>
    <row r="26" spans="2:11" ht="12.75">
      <c r="B26" s="38" t="s">
        <v>219</v>
      </c>
      <c r="C26" s="214">
        <f>-'BP'!H40</f>
        <v>9334460.440000013</v>
      </c>
      <c r="D26" s="42">
        <v>-9084110.450000007</v>
      </c>
      <c r="K26" s="207"/>
    </row>
    <row r="27" spans="2:11" ht="12.75">
      <c r="B27" s="38" t="s">
        <v>220</v>
      </c>
      <c r="C27" s="18">
        <v>-197212.66</v>
      </c>
      <c r="D27" s="42">
        <v>-928353.11</v>
      </c>
      <c r="K27" s="207"/>
    </row>
    <row r="28" spans="2:11" ht="12.75">
      <c r="B28" s="38" t="s">
        <v>222</v>
      </c>
      <c r="C28" s="213">
        <f>-'BP'!H22</f>
        <v>-4485202.32</v>
      </c>
      <c r="D28" s="42">
        <v>3193534.26</v>
      </c>
      <c r="K28" s="207"/>
    </row>
    <row r="29" spans="2:11" ht="12.75">
      <c r="B29" s="38" t="s">
        <v>221</v>
      </c>
      <c r="C29" s="16">
        <f>-'BP'!H24-C27</f>
        <v>-3557448.8100000005</v>
      </c>
      <c r="D29" s="42">
        <v>-221173.98999999964</v>
      </c>
      <c r="K29" s="207"/>
    </row>
    <row r="30" spans="2:11" ht="12.75">
      <c r="B30" s="30" t="s">
        <v>223</v>
      </c>
      <c r="C30" s="213">
        <f>'BP'!H89+'BP'!H92</f>
        <v>61236787.47000001</v>
      </c>
      <c r="D30" s="42">
        <v>71200601.57</v>
      </c>
      <c r="K30" s="207"/>
    </row>
    <row r="31" spans="2:11" ht="12.75">
      <c r="B31" s="38" t="s">
        <v>224</v>
      </c>
      <c r="C31" s="213">
        <f>'BP'!H90</f>
        <v>-31529910.21</v>
      </c>
      <c r="D31" s="42">
        <v>13304540.11</v>
      </c>
      <c r="K31" s="207"/>
    </row>
    <row r="32" spans="2:11" ht="12.75">
      <c r="B32" s="38" t="s">
        <v>225</v>
      </c>
      <c r="C32" s="213">
        <f>'BP'!H91</f>
        <v>-16845296.189999998</v>
      </c>
      <c r="D32" s="42">
        <v>18532462.729999997</v>
      </c>
      <c r="K32" s="207"/>
    </row>
    <row r="33" spans="2:11" ht="12.75">
      <c r="B33" s="38" t="s">
        <v>232</v>
      </c>
      <c r="C33" s="213">
        <f>'BP'!H93</f>
        <v>1585915.9299999997</v>
      </c>
      <c r="D33" s="42">
        <v>-3495058.7699999996</v>
      </c>
      <c r="K33" s="207"/>
    </row>
    <row r="34" spans="2:11" ht="12.75">
      <c r="B34" s="38" t="s">
        <v>226</v>
      </c>
      <c r="C34" s="213">
        <f>'BP'!H94</f>
        <v>-863966.9900000002</v>
      </c>
      <c r="D34" s="42">
        <v>507795.1900000004</v>
      </c>
      <c r="K34" s="207"/>
    </row>
    <row r="35" spans="2:11" ht="12.75">
      <c r="B35" s="38" t="s">
        <v>227</v>
      </c>
      <c r="C35" s="213">
        <f>'BP'!H95</f>
        <v>724407.2999999998</v>
      </c>
      <c r="D35" s="42">
        <v>359992.33999999985</v>
      </c>
      <c r="F35" s="203" t="s">
        <v>259</v>
      </c>
      <c r="K35" s="207"/>
    </row>
    <row r="36" spans="2:11" ht="12.75">
      <c r="B36" s="38" t="s">
        <v>228</v>
      </c>
      <c r="C36" s="213">
        <f>'BP'!H96</f>
        <v>968244.19</v>
      </c>
      <c r="D36" s="42">
        <v>444609.13999999996</v>
      </c>
      <c r="K36" s="207"/>
    </row>
    <row r="37" spans="2:11" ht="12.75">
      <c r="B37" s="38" t="s">
        <v>229</v>
      </c>
      <c r="C37" s="213">
        <f>'BP'!H97</f>
        <v>34792.08</v>
      </c>
      <c r="D37" s="42">
        <v>-42812.259999999995</v>
      </c>
      <c r="F37" s="191">
        <f>'BP'!D55+'BP'!D67</f>
        <v>341834874.81</v>
      </c>
      <c r="G37" s="221" t="s">
        <v>368</v>
      </c>
      <c r="K37" s="207"/>
    </row>
    <row r="38" spans="2:11" ht="12.75">
      <c r="B38" s="38" t="s">
        <v>230</v>
      </c>
      <c r="C38" s="213">
        <f>'BP'!H115</f>
        <v>-6587061.279999993</v>
      </c>
      <c r="D38" s="42">
        <v>1250495.590000004</v>
      </c>
      <c r="F38" s="316">
        <f>-C44</f>
        <v>20577629.880000018</v>
      </c>
      <c r="G38" s="221" t="s">
        <v>369</v>
      </c>
      <c r="K38" s="207"/>
    </row>
    <row r="39" spans="2:11" ht="12.75">
      <c r="B39" s="30" t="s">
        <v>95</v>
      </c>
      <c r="C39" s="213">
        <f>'BP'!H98</f>
        <v>315804.88</v>
      </c>
      <c r="D39" s="42">
        <v>-945236.52</v>
      </c>
      <c r="F39" s="209">
        <f>-C11</f>
        <v>-23290594.259999994</v>
      </c>
      <c r="G39" s="221" t="s">
        <v>370</v>
      </c>
      <c r="K39" s="207"/>
    </row>
    <row r="40" spans="2:11" ht="12.75">
      <c r="B40" s="309" t="s">
        <v>96</v>
      </c>
      <c r="C40" s="308">
        <f>SUM(C20:C39)+C17</f>
        <v>35475558.88000004</v>
      </c>
      <c r="D40" s="17">
        <f>SUM(D20:D39)+D17</f>
        <v>128232050.32</v>
      </c>
      <c r="F40" s="312">
        <f>-C43-C14</f>
        <v>-240730.84999999998</v>
      </c>
      <c r="G40" s="221" t="s">
        <v>371</v>
      </c>
      <c r="K40" s="207"/>
    </row>
    <row r="41" spans="2:4" ht="6.75" customHeight="1">
      <c r="B41" s="38"/>
      <c r="C41" s="13"/>
      <c r="D41" s="39"/>
    </row>
    <row r="42" spans="2:7" ht="13.5" thickBot="1">
      <c r="B42" s="40" t="s">
        <v>97</v>
      </c>
      <c r="C42" s="15"/>
      <c r="D42" s="41"/>
      <c r="F42" s="288">
        <f>F37+F38+F39+F40</f>
        <v>338881179.58</v>
      </c>
      <c r="G42" s="289" t="s">
        <v>372</v>
      </c>
    </row>
    <row r="43" spans="2:7" ht="13.5" thickTop="1">
      <c r="B43" s="38" t="s">
        <v>98</v>
      </c>
      <c r="C43" s="311">
        <v>257450</v>
      </c>
      <c r="D43" s="42">
        <v>487121.58</v>
      </c>
      <c r="F43" s="204">
        <f>'BP'!C55+'BP'!C67</f>
        <v>344350101.18</v>
      </c>
      <c r="G43" s="192" t="s">
        <v>373</v>
      </c>
    </row>
    <row r="44" spans="2:7" ht="12.75">
      <c r="B44" s="38" t="s">
        <v>99</v>
      </c>
      <c r="C44" s="315">
        <f>-'BP'!H55-'BP'!H67-'BP'!H60</f>
        <v>-20577629.880000018</v>
      </c>
      <c r="D44" s="18">
        <v>-16957053.429999985</v>
      </c>
      <c r="F44" s="207">
        <f>F42-F43</f>
        <v>-5468921.600000024</v>
      </c>
      <c r="G44" s="221" t="s">
        <v>325</v>
      </c>
    </row>
    <row r="45" spans="2:4" ht="12.75">
      <c r="B45" s="38" t="s">
        <v>100</v>
      </c>
      <c r="C45" s="314">
        <f>-'BP'!H50</f>
        <v>-667724.8099999996</v>
      </c>
      <c r="D45" s="42">
        <v>-5964948.149999999</v>
      </c>
    </row>
    <row r="46" spans="2:6" ht="12.75">
      <c r="B46" s="309" t="s">
        <v>101</v>
      </c>
      <c r="C46" s="308">
        <f>SUM(C43:C45)</f>
        <v>-20987904.690000016</v>
      </c>
      <c r="D46" s="17">
        <f>SUM(D43:D45)</f>
        <v>-22434879.999999985</v>
      </c>
      <c r="F46" s="203" t="s">
        <v>260</v>
      </c>
    </row>
    <row r="47" spans="2:6" ht="5.25" customHeight="1">
      <c r="B47" s="38"/>
      <c r="C47" s="13"/>
      <c r="D47" s="39"/>
      <c r="F47" s="191"/>
    </row>
    <row r="48" spans="2:7" ht="12.75">
      <c r="B48" s="40" t="s">
        <v>102</v>
      </c>
      <c r="C48" s="15"/>
      <c r="D48" s="41"/>
      <c r="F48" s="204">
        <f>'BP'!D50</f>
        <v>12202055.6</v>
      </c>
      <c r="G48" s="221" t="s">
        <v>368</v>
      </c>
    </row>
    <row r="49" spans="2:7" ht="12.75">
      <c r="B49" s="38" t="s">
        <v>103</v>
      </c>
      <c r="C49" s="2">
        <v>571767393.75</v>
      </c>
      <c r="D49" s="42">
        <v>297672674.17</v>
      </c>
      <c r="E49" s="203"/>
      <c r="F49" s="313">
        <f>-C45</f>
        <v>667724.8099999996</v>
      </c>
      <c r="G49" s="221" t="s">
        <v>369</v>
      </c>
    </row>
    <row r="50" spans="2:7" ht="12.75">
      <c r="B50" s="38" t="s">
        <v>104</v>
      </c>
      <c r="C50" s="300">
        <f>-('BP'!D100+'BP'!D109+C12+C49)+('BP'!C100+'BP'!C109)</f>
        <v>-556943873.2500001</v>
      </c>
      <c r="D50" s="42">
        <v>-347836115.94000006</v>
      </c>
      <c r="E50" s="205"/>
      <c r="F50" s="204">
        <f>F48+F49</f>
        <v>12869780.41</v>
      </c>
      <c r="G50" s="221" t="s">
        <v>374</v>
      </c>
    </row>
    <row r="51" spans="2:7" ht="12.75">
      <c r="B51" s="30" t="s">
        <v>105</v>
      </c>
      <c r="C51" s="213">
        <f>DMPL!I51+DMPL!I52</f>
        <v>1013293.1000000001</v>
      </c>
      <c r="D51" s="42">
        <v>1533839.54</v>
      </c>
      <c r="E51" s="206"/>
      <c r="F51" s="204">
        <f>'BP'!C50</f>
        <v>6581678.359999999</v>
      </c>
      <c r="G51" s="221" t="s">
        <v>373</v>
      </c>
    </row>
    <row r="52" spans="2:7" ht="12.75">
      <c r="B52" s="38" t="s">
        <v>106</v>
      </c>
      <c r="C52" s="213">
        <f>DMPL!I48</f>
        <v>1687097.1</v>
      </c>
      <c r="D52" s="42">
        <v>2040454.81</v>
      </c>
      <c r="E52" s="203"/>
      <c r="F52" s="204">
        <f>F50-F51</f>
        <v>6288102.050000001</v>
      </c>
      <c r="G52" s="221" t="s">
        <v>261</v>
      </c>
    </row>
    <row r="53" spans="2:6" ht="12.75">
      <c r="B53" s="38" t="s">
        <v>107</v>
      </c>
      <c r="C53" s="213">
        <f>DMPL!I46+DMPL!I47</f>
        <v>-914834.2000000001</v>
      </c>
      <c r="D53" s="42">
        <v>-554648.06</v>
      </c>
      <c r="E53" s="203"/>
      <c r="F53" s="204"/>
    </row>
    <row r="54" spans="2:5" ht="12.75">
      <c r="B54" s="38" t="s">
        <v>108</v>
      </c>
      <c r="C54" s="213">
        <f>DMPL!I42+DMPL!I66</f>
        <v>-9580463.209999999</v>
      </c>
      <c r="D54" s="42">
        <v>-6320999.96</v>
      </c>
      <c r="E54" s="11"/>
    </row>
    <row r="55" spans="2:6" ht="12.75">
      <c r="B55" s="309" t="s">
        <v>109</v>
      </c>
      <c r="C55" s="308">
        <f>SUM(C49:C54)</f>
        <v>7028613.289999882</v>
      </c>
      <c r="D55" s="17">
        <f>SUM(D49:D54)</f>
        <v>-53464795.44000004</v>
      </c>
      <c r="F55" s="204"/>
    </row>
    <row r="56" spans="2:4" ht="6.75" customHeight="1">
      <c r="B56" s="38"/>
      <c r="C56" s="13"/>
      <c r="D56" s="13"/>
    </row>
    <row r="57" spans="2:6" ht="12.75">
      <c r="B57" s="43" t="s">
        <v>110</v>
      </c>
      <c r="C57" s="12">
        <f>C40+C46+C55</f>
        <v>21516267.479999907</v>
      </c>
      <c r="D57" s="12">
        <f>D40+D46+D55</f>
        <v>52332374.879999965</v>
      </c>
      <c r="F57" s="222" t="s">
        <v>262</v>
      </c>
    </row>
    <row r="58" spans="2:4" ht="7.5" customHeight="1">
      <c r="B58" s="38"/>
      <c r="C58" s="14"/>
      <c r="D58" s="39"/>
    </row>
    <row r="59" spans="2:7" ht="12.75">
      <c r="B59" s="44" t="s">
        <v>271</v>
      </c>
      <c r="C59" s="19">
        <f>'BP'!D9</f>
        <v>252833589.76</v>
      </c>
      <c r="D59" s="45">
        <v>200501214.88</v>
      </c>
      <c r="F59" s="204">
        <f>'BP'!D100+'BP'!D109</f>
        <v>403041101.21000004</v>
      </c>
      <c r="G59" s="221" t="s">
        <v>368</v>
      </c>
    </row>
    <row r="60" spans="2:7" ht="12.75">
      <c r="B60" s="31" t="s">
        <v>272</v>
      </c>
      <c r="C60" s="20">
        <f>'BP'!C9</f>
        <v>274349857.23999995</v>
      </c>
      <c r="D60" s="20">
        <v>252833589.76</v>
      </c>
      <c r="F60" s="209">
        <f>C49</f>
        <v>571767393.75</v>
      </c>
      <c r="G60" s="221" t="s">
        <v>375</v>
      </c>
    </row>
    <row r="61" spans="2:7" ht="12.75">
      <c r="B61" s="37" t="s">
        <v>111</v>
      </c>
      <c r="C61" s="46">
        <f>C60-C59</f>
        <v>21516267.47999996</v>
      </c>
      <c r="D61" s="46">
        <f>D60-D59</f>
        <v>52332374.879999995</v>
      </c>
      <c r="F61" s="209">
        <f>C50</f>
        <v>-556943873.2500001</v>
      </c>
      <c r="G61" s="221" t="s">
        <v>376</v>
      </c>
    </row>
    <row r="62" ht="4.5" customHeight="1"/>
    <row r="63" spans="2:7" ht="12" customHeight="1" thickBot="1">
      <c r="B63" s="194"/>
      <c r="C63" s="208"/>
      <c r="D63" s="205"/>
      <c r="F63" s="297">
        <f>F59+F60+F61</f>
        <v>417864621.7099999</v>
      </c>
      <c r="G63" s="289" t="s">
        <v>372</v>
      </c>
    </row>
    <row r="64" spans="3:8" ht="16.5" customHeight="1" thickTop="1">
      <c r="C64" s="208"/>
      <c r="D64" s="208"/>
      <c r="E64" s="207"/>
      <c r="F64" s="204">
        <f>'BP'!C100+'BP'!C109</f>
        <v>424096992.06999993</v>
      </c>
      <c r="G64" s="192" t="s">
        <v>373</v>
      </c>
      <c r="H64" s="221"/>
    </row>
    <row r="65" spans="3:7" ht="12.75">
      <c r="C65" s="208"/>
      <c r="D65" s="208"/>
      <c r="F65" s="207">
        <f>F64-F63</f>
        <v>6232370.360000014</v>
      </c>
      <c r="G65" s="192" t="s">
        <v>377</v>
      </c>
    </row>
    <row r="66" ht="12.75">
      <c r="F66" s="191"/>
    </row>
    <row r="67" spans="2:7" ht="12.75">
      <c r="B67" s="340"/>
      <c r="C67" s="340"/>
      <c r="D67" s="340"/>
      <c r="E67" s="10"/>
      <c r="F67" s="210"/>
      <c r="G67" s="10"/>
    </row>
    <row r="68" spans="2:5" ht="12.75">
      <c r="B68" s="340"/>
      <c r="C68" s="340"/>
      <c r="D68" s="340"/>
      <c r="E68" s="10"/>
    </row>
    <row r="69" spans="2:5" ht="12.75">
      <c r="B69" s="340"/>
      <c r="C69" s="340"/>
      <c r="D69" s="340"/>
      <c r="E69" s="10"/>
    </row>
  </sheetData>
  <sheetProtection/>
  <mergeCells count="7">
    <mergeCell ref="B67:D67"/>
    <mergeCell ref="B68:D68"/>
    <mergeCell ref="B69:D69"/>
    <mergeCell ref="B1:D1"/>
    <mergeCell ref="B2:D2"/>
    <mergeCell ref="B3:D3"/>
    <mergeCell ref="B4:D4"/>
  </mergeCells>
  <printOptions horizontalCentered="1"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61"/>
  <sheetViews>
    <sheetView showGridLines="0" zoomScale="130" zoomScaleNormal="13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34" sqref="B34"/>
    </sheetView>
  </sheetViews>
  <sheetFormatPr defaultColWidth="15.00390625" defaultRowHeight="12.75"/>
  <cols>
    <col min="1" max="1" width="1.7109375" style="76" customWidth="1"/>
    <col min="2" max="2" width="48.421875" style="27" customWidth="1"/>
    <col min="3" max="3" width="24.57421875" style="27" customWidth="1"/>
    <col min="4" max="4" width="9.421875" style="27" customWidth="1"/>
    <col min="5" max="5" width="24.57421875" style="27" customWidth="1"/>
    <col min="6" max="6" width="9.57421875" style="27" customWidth="1"/>
    <col min="7" max="7" width="21.57421875" style="27" customWidth="1"/>
    <col min="8" max="8" width="15.00390625" style="27" customWidth="1"/>
    <col min="9" max="9" width="21.28125" style="27" customWidth="1"/>
    <col min="10" max="254" width="15.00390625" style="27" customWidth="1"/>
    <col min="255" max="16384" width="15.00390625" style="76" customWidth="1"/>
  </cols>
  <sheetData>
    <row r="1" spans="2:6" ht="15" customHeight="1">
      <c r="B1" s="320" t="s">
        <v>366</v>
      </c>
      <c r="C1" s="320"/>
      <c r="D1" s="320"/>
      <c r="E1" s="320"/>
      <c r="F1" s="320"/>
    </row>
    <row r="2" spans="2:6" ht="15" customHeight="1">
      <c r="B2" s="323" t="str">
        <f>DFC!B2</f>
        <v>CNPJ  00.000.000/0001-00</v>
      </c>
      <c r="C2" s="323"/>
      <c r="D2" s="323"/>
      <c r="E2" s="323"/>
      <c r="F2" s="323"/>
    </row>
    <row r="3" spans="2:7" ht="15" customHeight="1">
      <c r="B3" s="324" t="s">
        <v>309</v>
      </c>
      <c r="C3" s="324"/>
      <c r="D3" s="324"/>
      <c r="E3" s="324"/>
      <c r="F3" s="324"/>
      <c r="G3" s="143"/>
    </row>
    <row r="4" spans="2:6" ht="15" customHeight="1">
      <c r="B4" s="324" t="s">
        <v>141</v>
      </c>
      <c r="C4" s="324"/>
      <c r="D4" s="324"/>
      <c r="E4" s="324"/>
      <c r="F4" s="324"/>
    </row>
    <row r="5" spans="2:6" ht="15" customHeight="1">
      <c r="B5" s="144"/>
      <c r="C5" s="144"/>
      <c r="D5" s="144"/>
      <c r="E5" s="144"/>
      <c r="F5" s="144"/>
    </row>
    <row r="6" spans="2:6" ht="15.75" customHeight="1">
      <c r="B6" s="47"/>
      <c r="C6" s="262">
        <v>43100</v>
      </c>
      <c r="D6" s="21" t="s">
        <v>53</v>
      </c>
      <c r="E6" s="262">
        <v>42735</v>
      </c>
      <c r="F6" s="21" t="s">
        <v>53</v>
      </c>
    </row>
    <row r="7" spans="2:6" ht="15.75" customHeight="1">
      <c r="B7" s="145"/>
      <c r="C7" s="22"/>
      <c r="D7" s="22"/>
      <c r="E7" s="22"/>
      <c r="F7" s="146"/>
    </row>
    <row r="8" spans="2:254" s="150" customFormat="1" ht="15.75" customHeight="1">
      <c r="B8" s="147" t="s">
        <v>142</v>
      </c>
      <c r="C8" s="109">
        <f>SUM(C9:C13)</f>
        <v>1503156963.75</v>
      </c>
      <c r="D8" s="148"/>
      <c r="E8" s="109">
        <f>SUM(E9:E13)</f>
        <v>1566876176.42</v>
      </c>
      <c r="F8" s="149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</row>
    <row r="9" spans="2:6" ht="15.75" customHeight="1">
      <c r="B9" s="145" t="s">
        <v>173</v>
      </c>
      <c r="C9" s="49">
        <f>DRE!D9</f>
        <v>514489040.64</v>
      </c>
      <c r="D9" s="151"/>
      <c r="E9" s="49">
        <v>576472970.63</v>
      </c>
      <c r="F9" s="152"/>
    </row>
    <row r="10" spans="2:6" ht="15.75" customHeight="1">
      <c r="B10" s="145" t="s">
        <v>174</v>
      </c>
      <c r="C10" s="49">
        <f>DRE!D12+DRE!D13</f>
        <v>584747882.1600001</v>
      </c>
      <c r="D10" s="23"/>
      <c r="E10" s="49">
        <v>550579070.41</v>
      </c>
      <c r="F10" s="152"/>
    </row>
    <row r="11" spans="2:6" ht="15.75" customHeight="1">
      <c r="B11" s="145" t="s">
        <v>172</v>
      </c>
      <c r="C11" s="49">
        <f>DRE!D10+DRE!D11</f>
        <v>383367873.8</v>
      </c>
      <c r="D11" s="23"/>
      <c r="E11" s="49">
        <v>411677558.54</v>
      </c>
      <c r="F11" s="152"/>
    </row>
    <row r="12" spans="2:6" ht="15.75" customHeight="1">
      <c r="B12" s="145" t="s">
        <v>143</v>
      </c>
      <c r="C12" s="49">
        <f>DRE!D14</f>
        <v>3721855.53</v>
      </c>
      <c r="D12" s="23"/>
      <c r="E12" s="49">
        <v>3950482.16</v>
      </c>
      <c r="F12" s="152"/>
    </row>
    <row r="13" spans="2:6" ht="15.75" customHeight="1">
      <c r="B13" s="145" t="s">
        <v>274</v>
      </c>
      <c r="C13" s="49">
        <f>DRE!D35</f>
        <v>16830311.62</v>
      </c>
      <c r="D13" s="23"/>
      <c r="E13" s="49">
        <v>24196094.68</v>
      </c>
      <c r="F13" s="152"/>
    </row>
    <row r="14" spans="2:6" ht="15.75" customHeight="1">
      <c r="B14" s="145" t="s">
        <v>144</v>
      </c>
      <c r="C14" s="49"/>
      <c r="D14" s="23"/>
      <c r="E14" s="49"/>
      <c r="F14" s="152"/>
    </row>
    <row r="15" spans="2:254" s="150" customFormat="1" ht="15.75" customHeight="1">
      <c r="B15" s="147" t="s">
        <v>145</v>
      </c>
      <c r="C15" s="109">
        <f>SUM(C16:C18)</f>
        <v>1288641719.73</v>
      </c>
      <c r="D15" s="111"/>
      <c r="E15" s="109">
        <f>SUM(E16:E18)</f>
        <v>1363107538.9800003</v>
      </c>
      <c r="F15" s="149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</row>
    <row r="16" spans="2:6" ht="15.75" customHeight="1">
      <c r="B16" s="145" t="s">
        <v>146</v>
      </c>
      <c r="C16" s="49">
        <f>-DRE!D26-DRE!D27-57881596.25-11017464.4</f>
        <v>348084541.95000005</v>
      </c>
      <c r="D16" s="23"/>
      <c r="E16" s="49">
        <v>398308869.85</v>
      </c>
      <c r="F16" s="152"/>
    </row>
    <row r="17" spans="2:9" ht="15.75" customHeight="1">
      <c r="B17" s="145" t="s">
        <v>147</v>
      </c>
      <c r="C17" s="49">
        <f>-DRE!D23-DRE!D24-DRE!D25-DRE!D28-DRE!D16-DRE!D17-DRE!D18-DRE!D20-5506806.96</f>
        <v>803142826.1199999</v>
      </c>
      <c r="D17" s="23"/>
      <c r="E17" s="49">
        <v>843976015.99</v>
      </c>
      <c r="F17" s="152"/>
      <c r="I17" s="153"/>
    </row>
    <row r="18" spans="2:9" ht="15.75" customHeight="1">
      <c r="B18" s="145" t="s">
        <v>148</v>
      </c>
      <c r="C18" s="49">
        <f>197492786.3-(42041999.61+446133.78+71019.84+29930.15+71593.93+876814.23+34505.12+33171.59+6983.9+220468.74+1341961.47+2362587.51+14269.77+253865.14+11893585.57+379544.29)</f>
        <v>137414351.66000003</v>
      </c>
      <c r="D18" s="23"/>
      <c r="E18" s="49">
        <v>120822653.14</v>
      </c>
      <c r="F18" s="152"/>
      <c r="G18" s="154"/>
      <c r="H18" s="155"/>
      <c r="I18" s="24"/>
    </row>
    <row r="19" spans="2:9" ht="15.75" customHeight="1">
      <c r="B19" s="145" t="s">
        <v>144</v>
      </c>
      <c r="C19" s="49"/>
      <c r="D19" s="23"/>
      <c r="E19" s="49"/>
      <c r="F19" s="152"/>
      <c r="I19" s="153"/>
    </row>
    <row r="20" spans="2:254" s="150" customFormat="1" ht="15.75" customHeight="1">
      <c r="B20" s="147" t="s">
        <v>149</v>
      </c>
      <c r="C20" s="109">
        <f>C8-C15</f>
        <v>214515244.01999998</v>
      </c>
      <c r="D20" s="111"/>
      <c r="E20" s="109">
        <v>203768637.43999982</v>
      </c>
      <c r="F20" s="149"/>
      <c r="G20" s="143"/>
      <c r="H20" s="143"/>
      <c r="I20" s="112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</row>
    <row r="21" spans="2:9" ht="15.75" customHeight="1">
      <c r="B21" s="145" t="s">
        <v>150</v>
      </c>
      <c r="C21" s="49"/>
      <c r="D21" s="23"/>
      <c r="E21" s="49"/>
      <c r="F21" s="152"/>
      <c r="I21" s="153"/>
    </row>
    <row r="22" spans="2:254" s="150" customFormat="1" ht="15.75" customHeight="1">
      <c r="B22" s="147" t="s">
        <v>151</v>
      </c>
      <c r="C22" s="109">
        <f>C23</f>
        <v>23290594.259999994</v>
      </c>
      <c r="D22" s="111"/>
      <c r="E22" s="109">
        <v>22026107.809999995</v>
      </c>
      <c r="F22" s="149"/>
      <c r="G22" s="143"/>
      <c r="H22" s="143"/>
      <c r="I22" s="156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</row>
    <row r="23" spans="2:9" ht="15.75" customHeight="1">
      <c r="B23" s="145" t="s">
        <v>152</v>
      </c>
      <c r="C23" s="49">
        <f>DFC!C11</f>
        <v>23290594.259999994</v>
      </c>
      <c r="D23" s="151"/>
      <c r="E23" s="49">
        <v>22026107.809999995</v>
      </c>
      <c r="F23" s="152"/>
      <c r="I23" s="24"/>
    </row>
    <row r="24" spans="2:9" ht="15.75" customHeight="1">
      <c r="B24" s="145"/>
      <c r="C24" s="49"/>
      <c r="D24" s="151"/>
      <c r="E24" s="49"/>
      <c r="F24" s="152"/>
      <c r="I24" s="153"/>
    </row>
    <row r="25" spans="2:254" s="150" customFormat="1" ht="15.75" customHeight="1">
      <c r="B25" s="147" t="s">
        <v>153</v>
      </c>
      <c r="C25" s="110">
        <f>SUM(C20-C22)</f>
        <v>191224649.76</v>
      </c>
      <c r="D25" s="148"/>
      <c r="E25" s="110">
        <f>SUM(E20-E22)</f>
        <v>181742529.62999982</v>
      </c>
      <c r="F25" s="149"/>
      <c r="G25" s="143"/>
      <c r="H25" s="143"/>
      <c r="I25" s="156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</row>
    <row r="26" spans="2:9" ht="15.75" customHeight="1">
      <c r="B26" s="145"/>
      <c r="C26" s="49"/>
      <c r="D26" s="151"/>
      <c r="E26" s="49"/>
      <c r="F26" s="146"/>
      <c r="I26" s="153"/>
    </row>
    <row r="27" spans="2:254" s="150" customFormat="1" ht="15.75" customHeight="1">
      <c r="B27" s="147" t="s">
        <v>154</v>
      </c>
      <c r="C27" s="109">
        <f>C28</f>
        <v>48527594.97</v>
      </c>
      <c r="D27" s="148"/>
      <c r="E27" s="109">
        <v>39911988.64</v>
      </c>
      <c r="F27" s="149"/>
      <c r="G27" s="143"/>
      <c r="H27" s="143"/>
      <c r="I27" s="156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</row>
    <row r="28" spans="2:9" ht="15.75" customHeight="1">
      <c r="B28" s="145" t="s">
        <v>71</v>
      </c>
      <c r="C28" s="49">
        <f>DRE!D39+DRE!D40</f>
        <v>48527594.97</v>
      </c>
      <c r="D28" s="151"/>
      <c r="E28" s="49">
        <v>39911988.64</v>
      </c>
      <c r="F28" s="152"/>
      <c r="I28" s="153"/>
    </row>
    <row r="29" spans="2:9" ht="15.75" customHeight="1">
      <c r="B29" s="145"/>
      <c r="C29" s="49"/>
      <c r="D29" s="151"/>
      <c r="E29" s="49"/>
      <c r="F29" s="152"/>
      <c r="I29" s="153"/>
    </row>
    <row r="30" spans="2:254" s="150" customFormat="1" ht="15.75" customHeight="1">
      <c r="B30" s="147" t="s">
        <v>155</v>
      </c>
      <c r="C30" s="109">
        <f>C25+C27</f>
        <v>239752244.73</v>
      </c>
      <c r="D30" s="157">
        <v>1</v>
      </c>
      <c r="E30" s="109">
        <f>E25+E27</f>
        <v>221654518.2699998</v>
      </c>
      <c r="F30" s="149">
        <v>1</v>
      </c>
      <c r="G30" s="143"/>
      <c r="H30" s="143"/>
      <c r="I30" s="156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</row>
    <row r="31" spans="2:9" ht="15.75" customHeight="1">
      <c r="B31" s="145" t="s">
        <v>144</v>
      </c>
      <c r="C31" s="49"/>
      <c r="D31" s="151"/>
      <c r="E31" s="49"/>
      <c r="F31" s="146"/>
      <c r="I31" s="153"/>
    </row>
    <row r="32" spans="2:254" s="150" customFormat="1" ht="15.75" customHeight="1">
      <c r="B32" s="147" t="s">
        <v>156</v>
      </c>
      <c r="C32" s="109">
        <f>C34+C39+C44+C48+C50</f>
        <v>239752244.73000002</v>
      </c>
      <c r="D32" s="157">
        <v>1</v>
      </c>
      <c r="E32" s="109">
        <f>E34+E39+E44+E48+E50</f>
        <v>221654518.2699998</v>
      </c>
      <c r="F32" s="149">
        <v>1</v>
      </c>
      <c r="G32" s="143"/>
      <c r="H32" s="143"/>
      <c r="I32" s="156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  <c r="IT32" s="143"/>
    </row>
    <row r="33" spans="2:254" s="150" customFormat="1" ht="15.75" customHeight="1">
      <c r="B33" s="147"/>
      <c r="C33" s="109"/>
      <c r="D33" s="148"/>
      <c r="E33" s="109"/>
      <c r="F33" s="149"/>
      <c r="G33" s="143"/>
      <c r="H33" s="143"/>
      <c r="I33" s="156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</row>
    <row r="34" spans="2:254" s="150" customFormat="1" ht="15.75" customHeight="1">
      <c r="B34" s="147" t="s">
        <v>157</v>
      </c>
      <c r="C34" s="109">
        <f>SUM(C35:C37)</f>
        <v>91495954.13</v>
      </c>
      <c r="D34" s="158">
        <f>C34/$C$30*100</f>
        <v>38.162710106443136</v>
      </c>
      <c r="E34" s="109">
        <v>86610234.6</v>
      </c>
      <c r="F34" s="159">
        <f>E34/$E$30*100</f>
        <v>39.07442775179486</v>
      </c>
      <c r="G34" s="143"/>
      <c r="H34" s="143"/>
      <c r="I34" s="156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  <c r="IL34" s="143"/>
      <c r="IM34" s="143"/>
      <c r="IN34" s="143"/>
      <c r="IO34" s="143"/>
      <c r="IP34" s="143"/>
      <c r="IQ34" s="143"/>
      <c r="IR34" s="143"/>
      <c r="IS34" s="143"/>
      <c r="IT34" s="143"/>
    </row>
    <row r="35" spans="2:9" ht="15.75" customHeight="1">
      <c r="B35" s="145" t="s">
        <v>158</v>
      </c>
      <c r="C35" s="50">
        <f>42041999.61-5735802.18+57881596.25-7376546.86+5506806.96-822099.65-C36-C37</f>
        <v>86485183.47</v>
      </c>
      <c r="D35" s="160">
        <f>C35/$C$30*100</f>
        <v>36.07273148470262</v>
      </c>
      <c r="E35" s="50">
        <v>84296805.95</v>
      </c>
      <c r="F35" s="161">
        <f>E35/$E$30*100</f>
        <v>38.03071852896639</v>
      </c>
      <c r="I35" s="25"/>
    </row>
    <row r="36" spans="2:9" ht="15.75" customHeight="1">
      <c r="B36" s="145" t="s">
        <v>159</v>
      </c>
      <c r="C36" s="50">
        <f>902900.4+41455.74</f>
        <v>944356.14</v>
      </c>
      <c r="D36" s="160">
        <f>C36/$C$30*100</f>
        <v>0.39388834130145417</v>
      </c>
      <c r="E36" s="50">
        <v>1221515.32</v>
      </c>
      <c r="F36" s="161">
        <f>E36/$E$30*100</f>
        <v>0.5510897452187548</v>
      </c>
      <c r="I36" s="153"/>
    </row>
    <row r="37" spans="2:9" ht="15.75" customHeight="1">
      <c r="B37" s="145" t="s">
        <v>160</v>
      </c>
      <c r="C37" s="50">
        <f>222117.18+1783344.64+2060952.7</f>
        <v>4066414.5199999996</v>
      </c>
      <c r="D37" s="160">
        <f>C37/$C$30*100</f>
        <v>1.6960902804390605</v>
      </c>
      <c r="E37" s="50">
        <v>1091913.33</v>
      </c>
      <c r="F37" s="161">
        <f>E37/$E$30*100</f>
        <v>0.49261947760971353</v>
      </c>
      <c r="I37" s="153"/>
    </row>
    <row r="38" spans="2:9" ht="15.75" customHeight="1">
      <c r="B38" s="145" t="s">
        <v>144</v>
      </c>
      <c r="C38" s="49"/>
      <c r="D38" s="160"/>
      <c r="E38" s="49"/>
      <c r="F38" s="161"/>
      <c r="I38" s="153"/>
    </row>
    <row r="39" spans="2:254" s="150" customFormat="1" ht="15.75" customHeight="1">
      <c r="B39" s="147" t="s">
        <v>161</v>
      </c>
      <c r="C39" s="110">
        <f>C40+C41+C42</f>
        <v>22413774.969999995</v>
      </c>
      <c r="D39" s="158">
        <f>C39/$C$30*100</f>
        <v>9.348723719038189</v>
      </c>
      <c r="E39" s="110">
        <v>29657978.809999995</v>
      </c>
      <c r="F39" s="159">
        <f>E39/$E$30*100</f>
        <v>13.380272615906383</v>
      </c>
      <c r="G39" s="143"/>
      <c r="H39" s="143"/>
      <c r="I39" s="162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</row>
    <row r="40" spans="2:9" ht="15.75" customHeight="1">
      <c r="B40" s="145" t="s">
        <v>162</v>
      </c>
      <c r="C40" s="48">
        <f>-DRE!D19+220468.74+1341961.47+2362587.51+14269.77+253865.14+5735802.18+7376546.86+822099.65+882230.44+334884.25-4106.46-1478.32</f>
        <v>21289756.209999997</v>
      </c>
      <c r="D40" s="160">
        <f>C40/$C$30*100</f>
        <v>8.87989859447436</v>
      </c>
      <c r="E40" s="48">
        <v>28535013.109999996</v>
      </c>
      <c r="F40" s="161">
        <f>E40/$E$30*100</f>
        <v>12.873643782546848</v>
      </c>
      <c r="I40" s="153"/>
    </row>
    <row r="41" spans="2:6" ht="15.75" customHeight="1">
      <c r="B41" s="145" t="s">
        <v>163</v>
      </c>
      <c r="C41" s="48">
        <f>71593.93+876814.23+34505.12+33171.59+6983.9</f>
        <v>1023068.7699999999</v>
      </c>
      <c r="D41" s="160">
        <f>C41/$C$30*100</f>
        <v>0.42671916217182526</v>
      </c>
      <c r="E41" s="48">
        <v>1002435.8999999999</v>
      </c>
      <c r="F41" s="161">
        <f>E41/$E$30*100</f>
        <v>0.45225150735656183</v>
      </c>
    </row>
    <row r="42" spans="2:8" ht="15.75" customHeight="1">
      <c r="B42" s="145" t="s">
        <v>164</v>
      </c>
      <c r="C42" s="48">
        <f>71019.84+29930.15</f>
        <v>100949.98999999999</v>
      </c>
      <c r="D42" s="160">
        <f>C42/$C$30*100</f>
        <v>0.042105962392004335</v>
      </c>
      <c r="E42" s="48">
        <v>120529.79999999999</v>
      </c>
      <c r="F42" s="161">
        <f>E42/$E$30*100</f>
        <v>0.054377326002974284</v>
      </c>
      <c r="H42" s="163"/>
    </row>
    <row r="43" spans="2:6" ht="15.75" customHeight="1">
      <c r="B43" s="145"/>
      <c r="C43" s="48"/>
      <c r="D43" s="160"/>
      <c r="E43" s="48"/>
      <c r="F43" s="161"/>
    </row>
    <row r="44" spans="2:254" s="150" customFormat="1" ht="15.75" customHeight="1">
      <c r="B44" s="147" t="s">
        <v>165</v>
      </c>
      <c r="C44" s="110">
        <f>C45+C46</f>
        <v>66635989.14</v>
      </c>
      <c r="D44" s="158">
        <f>C44/$C$30*100</f>
        <v>27.793687277065104</v>
      </c>
      <c r="E44" s="110">
        <v>79273344.67</v>
      </c>
      <c r="F44" s="159">
        <f>E44/$E$30*100</f>
        <v>35.76437118842588</v>
      </c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  <c r="IK44" s="143"/>
      <c r="IL44" s="143"/>
      <c r="IM44" s="143"/>
      <c r="IN44" s="143"/>
      <c r="IO44" s="143"/>
      <c r="IP44" s="143"/>
      <c r="IQ44" s="143"/>
      <c r="IR44" s="143"/>
      <c r="IS44" s="143"/>
      <c r="IT44" s="143"/>
    </row>
    <row r="45" spans="2:6" ht="15.75" customHeight="1">
      <c r="B45" s="145" t="s">
        <v>70</v>
      </c>
      <c r="C45" s="48">
        <f>-DRE!D38-DRE!D41</f>
        <v>66189855.36</v>
      </c>
      <c r="D45" s="160">
        <f>C45/$C$30*100</f>
        <v>27.60760610793886</v>
      </c>
      <c r="E45" s="48">
        <v>78980132.47</v>
      </c>
      <c r="F45" s="161">
        <f>E45/$E$30*100</f>
        <v>35.63208775820822</v>
      </c>
    </row>
    <row r="46" spans="2:6" ht="15.75" customHeight="1">
      <c r="B46" s="145" t="s">
        <v>166</v>
      </c>
      <c r="C46" s="48">
        <v>446133.78</v>
      </c>
      <c r="D46" s="160">
        <f>C46/$C$30*100</f>
        <v>0.18608116912624498</v>
      </c>
      <c r="E46" s="48">
        <v>293212.2</v>
      </c>
      <c r="F46" s="161">
        <f>E46/$E$30*100</f>
        <v>0.1322834302176665</v>
      </c>
    </row>
    <row r="47" spans="2:6" ht="11.25" customHeight="1">
      <c r="B47" s="145"/>
      <c r="C47" s="48"/>
      <c r="D47" s="160"/>
      <c r="E47" s="48"/>
      <c r="F47" s="161"/>
    </row>
    <row r="48" spans="2:254" s="150" customFormat="1" ht="15.75" customHeight="1">
      <c r="B48" s="147" t="s">
        <v>167</v>
      </c>
      <c r="C48" s="110">
        <f>(DRE!D42)*-1</f>
        <v>1163533.44</v>
      </c>
      <c r="D48" s="158">
        <f>C48/$C$30*100</f>
        <v>0.4853065886037179</v>
      </c>
      <c r="E48" s="110">
        <v>0</v>
      </c>
      <c r="F48" s="159">
        <f>E48/$E$30*100</f>
        <v>0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  <c r="IK48" s="143"/>
      <c r="IL48" s="143"/>
      <c r="IM48" s="143"/>
      <c r="IN48" s="143"/>
      <c r="IO48" s="143"/>
      <c r="IP48" s="143"/>
      <c r="IQ48" s="143"/>
      <c r="IR48" s="143"/>
      <c r="IS48" s="143"/>
      <c r="IT48" s="143"/>
    </row>
    <row r="49" spans="2:6" ht="10.5" customHeight="1">
      <c r="B49" s="145"/>
      <c r="C49" s="49"/>
      <c r="D49" s="160"/>
      <c r="E49" s="49"/>
      <c r="F49" s="161"/>
    </row>
    <row r="50" spans="2:254" s="150" customFormat="1" ht="15.75" customHeight="1">
      <c r="B50" s="147" t="s">
        <v>335</v>
      </c>
      <c r="C50" s="109">
        <f>C30-C34-C39-C44-C48</f>
        <v>58042993.05</v>
      </c>
      <c r="D50" s="158">
        <f>C50/$C$30*100</f>
        <v>24.209572308849847</v>
      </c>
      <c r="E50" s="109">
        <v>26112960.189999804</v>
      </c>
      <c r="F50" s="159">
        <f>E50/$E$30*100</f>
        <v>11.780928443872876</v>
      </c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  <c r="IG50" s="143"/>
      <c r="IH50" s="143"/>
      <c r="II50" s="143"/>
      <c r="IJ50" s="143"/>
      <c r="IK50" s="143"/>
      <c r="IL50" s="143"/>
      <c r="IM50" s="143"/>
      <c r="IN50" s="143"/>
      <c r="IO50" s="143"/>
      <c r="IP50" s="143"/>
      <c r="IQ50" s="143"/>
      <c r="IR50" s="143"/>
      <c r="IS50" s="143"/>
      <c r="IT50" s="143"/>
    </row>
    <row r="51" spans="2:6" ht="11.25" customHeight="1" hidden="1">
      <c r="B51" s="145"/>
      <c r="C51" s="49"/>
      <c r="D51" s="160"/>
      <c r="E51" s="49"/>
      <c r="F51" s="161"/>
    </row>
    <row r="52" spans="2:254" s="254" customFormat="1" ht="15.75" customHeight="1" hidden="1">
      <c r="B52" s="249" t="s">
        <v>168</v>
      </c>
      <c r="C52" s="250">
        <f>DRE!D50</f>
        <v>1702570.34</v>
      </c>
      <c r="D52" s="251">
        <f>C52/$C$30*100</f>
        <v>0.7101373928395837</v>
      </c>
      <c r="E52" s="250">
        <v>1755314.21</v>
      </c>
      <c r="F52" s="252">
        <f>E52/$E$30*100</f>
        <v>0.791914472892374</v>
      </c>
      <c r="G52" s="253" t="s">
        <v>334</v>
      </c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3"/>
      <c r="FE52" s="253"/>
      <c r="FF52" s="253"/>
      <c r="FG52" s="253"/>
      <c r="FH52" s="253"/>
      <c r="FI52" s="253"/>
      <c r="FJ52" s="253"/>
      <c r="FK52" s="253"/>
      <c r="FL52" s="253"/>
      <c r="FM52" s="253"/>
      <c r="FN52" s="253"/>
      <c r="FO52" s="253"/>
      <c r="FP52" s="253"/>
      <c r="FQ52" s="253"/>
      <c r="FR52" s="253"/>
      <c r="FS52" s="253"/>
      <c r="FT52" s="253"/>
      <c r="FU52" s="253"/>
      <c r="FV52" s="253"/>
      <c r="FW52" s="253"/>
      <c r="FX52" s="253"/>
      <c r="FY52" s="253"/>
      <c r="FZ52" s="253"/>
      <c r="GA52" s="253"/>
      <c r="GB52" s="253"/>
      <c r="GC52" s="253"/>
      <c r="GD52" s="253"/>
      <c r="GE52" s="253"/>
      <c r="GF52" s="253"/>
      <c r="GG52" s="253"/>
      <c r="GH52" s="253"/>
      <c r="GI52" s="253"/>
      <c r="GJ52" s="253"/>
      <c r="GK52" s="253"/>
      <c r="GL52" s="253"/>
      <c r="GM52" s="253"/>
      <c r="GN52" s="253"/>
      <c r="GO52" s="253"/>
      <c r="GP52" s="253"/>
      <c r="GQ52" s="253"/>
      <c r="GR52" s="253"/>
      <c r="GS52" s="253"/>
      <c r="GT52" s="253"/>
      <c r="GU52" s="253"/>
      <c r="GV52" s="253"/>
      <c r="GW52" s="253"/>
      <c r="GX52" s="253"/>
      <c r="GY52" s="253"/>
      <c r="GZ52" s="253"/>
      <c r="HA52" s="253"/>
      <c r="HB52" s="253"/>
      <c r="HC52" s="253"/>
      <c r="HD52" s="253"/>
      <c r="HE52" s="253"/>
      <c r="HF52" s="253"/>
      <c r="HG52" s="253"/>
      <c r="HH52" s="253"/>
      <c r="HI52" s="253"/>
      <c r="HJ52" s="253"/>
      <c r="HK52" s="253"/>
      <c r="HL52" s="253"/>
      <c r="HM52" s="253"/>
      <c r="HN52" s="253"/>
      <c r="HO52" s="253"/>
      <c r="HP52" s="253"/>
      <c r="HQ52" s="253"/>
      <c r="HR52" s="253"/>
      <c r="HS52" s="253"/>
      <c r="HT52" s="253"/>
      <c r="HU52" s="253"/>
      <c r="HV52" s="253"/>
      <c r="HW52" s="253"/>
      <c r="HX52" s="253"/>
      <c r="HY52" s="253"/>
      <c r="HZ52" s="253"/>
      <c r="IA52" s="253"/>
      <c r="IB52" s="253"/>
      <c r="IC52" s="253"/>
      <c r="ID52" s="253"/>
      <c r="IE52" s="253"/>
      <c r="IF52" s="253"/>
      <c r="IG52" s="253"/>
      <c r="IH52" s="253"/>
      <c r="II52" s="253"/>
      <c r="IJ52" s="253"/>
      <c r="IK52" s="253"/>
      <c r="IL52" s="253"/>
      <c r="IM52" s="253"/>
      <c r="IN52" s="253"/>
      <c r="IO52" s="253"/>
      <c r="IP52" s="253"/>
      <c r="IQ52" s="253"/>
      <c r="IR52" s="253"/>
      <c r="IS52" s="253"/>
      <c r="IT52" s="253"/>
    </row>
    <row r="53" spans="2:254" s="260" customFormat="1" ht="15.75" customHeight="1" hidden="1">
      <c r="B53" s="255"/>
      <c r="C53" s="256"/>
      <c r="D53" s="257"/>
      <c r="E53" s="256"/>
      <c r="F53" s="258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59"/>
      <c r="EO53" s="259"/>
      <c r="EP53" s="259"/>
      <c r="EQ53" s="259"/>
      <c r="ER53" s="259"/>
      <c r="ES53" s="259"/>
      <c r="ET53" s="259"/>
      <c r="EU53" s="259"/>
      <c r="EV53" s="259"/>
      <c r="EW53" s="259"/>
      <c r="EX53" s="259"/>
      <c r="EY53" s="259"/>
      <c r="EZ53" s="259"/>
      <c r="FA53" s="259"/>
      <c r="FB53" s="259"/>
      <c r="FC53" s="259"/>
      <c r="FD53" s="259"/>
      <c r="FE53" s="259"/>
      <c r="FF53" s="259"/>
      <c r="FG53" s="259"/>
      <c r="FH53" s="259"/>
      <c r="FI53" s="259"/>
      <c r="FJ53" s="259"/>
      <c r="FK53" s="259"/>
      <c r="FL53" s="259"/>
      <c r="FM53" s="259"/>
      <c r="FN53" s="259"/>
      <c r="FO53" s="259"/>
      <c r="FP53" s="259"/>
      <c r="FQ53" s="259"/>
      <c r="FR53" s="259"/>
      <c r="FS53" s="259"/>
      <c r="FT53" s="259"/>
      <c r="FU53" s="259"/>
      <c r="FV53" s="259"/>
      <c r="FW53" s="259"/>
      <c r="FX53" s="259"/>
      <c r="FY53" s="259"/>
      <c r="FZ53" s="259"/>
      <c r="GA53" s="259"/>
      <c r="GB53" s="259"/>
      <c r="GC53" s="259"/>
      <c r="GD53" s="259"/>
      <c r="GE53" s="259"/>
      <c r="GF53" s="259"/>
      <c r="GG53" s="259"/>
      <c r="GH53" s="259"/>
      <c r="GI53" s="259"/>
      <c r="GJ53" s="259"/>
      <c r="GK53" s="259"/>
      <c r="GL53" s="259"/>
      <c r="GM53" s="259"/>
      <c r="GN53" s="259"/>
      <c r="GO53" s="259"/>
      <c r="GP53" s="259"/>
      <c r="GQ53" s="259"/>
      <c r="GR53" s="259"/>
      <c r="GS53" s="259"/>
      <c r="GT53" s="259"/>
      <c r="GU53" s="259"/>
      <c r="GV53" s="259"/>
      <c r="GW53" s="259"/>
      <c r="GX53" s="259"/>
      <c r="GY53" s="259"/>
      <c r="GZ53" s="259"/>
      <c r="HA53" s="259"/>
      <c r="HB53" s="259"/>
      <c r="HC53" s="259"/>
      <c r="HD53" s="259"/>
      <c r="HE53" s="259"/>
      <c r="HF53" s="259"/>
      <c r="HG53" s="259"/>
      <c r="HH53" s="259"/>
      <c r="HI53" s="259"/>
      <c r="HJ53" s="259"/>
      <c r="HK53" s="259"/>
      <c r="HL53" s="259"/>
      <c r="HM53" s="259"/>
      <c r="HN53" s="259"/>
      <c r="HO53" s="259"/>
      <c r="HP53" s="259"/>
      <c r="HQ53" s="259"/>
      <c r="HR53" s="259"/>
      <c r="HS53" s="259"/>
      <c r="HT53" s="259"/>
      <c r="HU53" s="259"/>
      <c r="HV53" s="259"/>
      <c r="HW53" s="259"/>
      <c r="HX53" s="259"/>
      <c r="HY53" s="259"/>
      <c r="HZ53" s="259"/>
      <c r="IA53" s="259"/>
      <c r="IB53" s="259"/>
      <c r="IC53" s="259"/>
      <c r="ID53" s="259"/>
      <c r="IE53" s="259"/>
      <c r="IF53" s="259"/>
      <c r="IG53" s="259"/>
      <c r="IH53" s="259"/>
      <c r="II53" s="259"/>
      <c r="IJ53" s="259"/>
      <c r="IK53" s="259"/>
      <c r="IL53" s="259"/>
      <c r="IM53" s="259"/>
      <c r="IN53" s="259"/>
      <c r="IO53" s="259"/>
      <c r="IP53" s="259"/>
      <c r="IQ53" s="259"/>
      <c r="IR53" s="259"/>
      <c r="IS53" s="259"/>
      <c r="IT53" s="259"/>
    </row>
    <row r="54" spans="2:254" s="254" customFormat="1" ht="15.75" customHeight="1" hidden="1">
      <c r="B54" s="249" t="s">
        <v>169</v>
      </c>
      <c r="C54" s="250">
        <f>C50+C52</f>
        <v>59745563.39</v>
      </c>
      <c r="D54" s="251">
        <f>C54/$C$30*100</f>
        <v>24.91970970168943</v>
      </c>
      <c r="E54" s="250">
        <v>27868274.399999805</v>
      </c>
      <c r="F54" s="252">
        <f>E54/$E$30*100</f>
        <v>12.572842916765248</v>
      </c>
      <c r="G54" s="253" t="s">
        <v>334</v>
      </c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253"/>
      <c r="DX54" s="253"/>
      <c r="DY54" s="253"/>
      <c r="DZ54" s="253"/>
      <c r="EA54" s="253"/>
      <c r="EB54" s="253"/>
      <c r="EC54" s="253"/>
      <c r="ED54" s="253"/>
      <c r="EE54" s="253"/>
      <c r="EF54" s="253"/>
      <c r="EG54" s="253"/>
      <c r="EH54" s="253"/>
      <c r="EI54" s="253"/>
      <c r="EJ54" s="253"/>
      <c r="EK54" s="253"/>
      <c r="EL54" s="253"/>
      <c r="EM54" s="253"/>
      <c r="EN54" s="253"/>
      <c r="EO54" s="253"/>
      <c r="EP54" s="253"/>
      <c r="EQ54" s="253"/>
      <c r="ER54" s="253"/>
      <c r="ES54" s="253"/>
      <c r="ET54" s="253"/>
      <c r="EU54" s="253"/>
      <c r="EV54" s="253"/>
      <c r="EW54" s="253"/>
      <c r="EX54" s="253"/>
      <c r="EY54" s="253"/>
      <c r="EZ54" s="253"/>
      <c r="FA54" s="253"/>
      <c r="FB54" s="253"/>
      <c r="FC54" s="253"/>
      <c r="FD54" s="253"/>
      <c r="FE54" s="253"/>
      <c r="FF54" s="253"/>
      <c r="FG54" s="253"/>
      <c r="FH54" s="253"/>
      <c r="FI54" s="253"/>
      <c r="FJ54" s="253"/>
      <c r="FK54" s="253"/>
      <c r="FL54" s="253"/>
      <c r="FM54" s="253"/>
      <c r="FN54" s="253"/>
      <c r="FO54" s="253"/>
      <c r="FP54" s="253"/>
      <c r="FQ54" s="253"/>
      <c r="FR54" s="253"/>
      <c r="FS54" s="253"/>
      <c r="FT54" s="253"/>
      <c r="FU54" s="253"/>
      <c r="FV54" s="253"/>
      <c r="FW54" s="253"/>
      <c r="FX54" s="253"/>
      <c r="FY54" s="253"/>
      <c r="FZ54" s="253"/>
      <c r="GA54" s="253"/>
      <c r="GB54" s="253"/>
      <c r="GC54" s="253"/>
      <c r="GD54" s="253"/>
      <c r="GE54" s="253"/>
      <c r="GF54" s="253"/>
      <c r="GG54" s="253"/>
      <c r="GH54" s="253"/>
      <c r="GI54" s="253"/>
      <c r="GJ54" s="253"/>
      <c r="GK54" s="253"/>
      <c r="GL54" s="253"/>
      <c r="GM54" s="253"/>
      <c r="GN54" s="253"/>
      <c r="GO54" s="253"/>
      <c r="GP54" s="253"/>
      <c r="GQ54" s="253"/>
      <c r="GR54" s="253"/>
      <c r="GS54" s="253"/>
      <c r="GT54" s="253"/>
      <c r="GU54" s="253"/>
      <c r="GV54" s="253"/>
      <c r="GW54" s="253"/>
      <c r="GX54" s="253"/>
      <c r="GY54" s="253"/>
      <c r="GZ54" s="253"/>
      <c r="HA54" s="253"/>
      <c r="HB54" s="253"/>
      <c r="HC54" s="253"/>
      <c r="HD54" s="253"/>
      <c r="HE54" s="253"/>
      <c r="HF54" s="253"/>
      <c r="HG54" s="253"/>
      <c r="HH54" s="253"/>
      <c r="HI54" s="253"/>
      <c r="HJ54" s="253"/>
      <c r="HK54" s="253"/>
      <c r="HL54" s="253"/>
      <c r="HM54" s="253"/>
      <c r="HN54" s="253"/>
      <c r="HO54" s="253"/>
      <c r="HP54" s="253"/>
      <c r="HQ54" s="253"/>
      <c r="HR54" s="253"/>
      <c r="HS54" s="253"/>
      <c r="HT54" s="253"/>
      <c r="HU54" s="253"/>
      <c r="HV54" s="253"/>
      <c r="HW54" s="253"/>
      <c r="HX54" s="253"/>
      <c r="HY54" s="253"/>
      <c r="HZ54" s="253"/>
      <c r="IA54" s="253"/>
      <c r="IB54" s="253"/>
      <c r="IC54" s="253"/>
      <c r="ID54" s="253"/>
      <c r="IE54" s="253"/>
      <c r="IF54" s="253"/>
      <c r="IG54" s="253"/>
      <c r="IH54" s="253"/>
      <c r="II54" s="253"/>
      <c r="IJ54" s="253"/>
      <c r="IK54" s="253"/>
      <c r="IL54" s="253"/>
      <c r="IM54" s="253"/>
      <c r="IN54" s="253"/>
      <c r="IO54" s="253"/>
      <c r="IP54" s="253"/>
      <c r="IQ54" s="253"/>
      <c r="IR54" s="253"/>
      <c r="IS54" s="253"/>
      <c r="IT54" s="253"/>
    </row>
    <row r="55" spans="2:6" ht="15.75" customHeight="1">
      <c r="B55" s="164"/>
      <c r="C55" s="52"/>
      <c r="D55" s="164"/>
      <c r="E55" s="51"/>
      <c r="F55" s="165"/>
    </row>
    <row r="56" ht="5.25" customHeight="1">
      <c r="C56" s="26"/>
    </row>
    <row r="57" spans="3:6" ht="15.75" customHeight="1">
      <c r="C57" s="26"/>
      <c r="F57" s="246"/>
    </row>
    <row r="58" ht="49.5" customHeight="1"/>
    <row r="59" spans="2:7" ht="15.75" customHeight="1">
      <c r="B59" s="319"/>
      <c r="C59" s="319"/>
      <c r="D59" s="319"/>
      <c r="E59" s="319"/>
      <c r="F59" s="319"/>
      <c r="G59" s="166"/>
    </row>
    <row r="60" spans="2:7" ht="15.75" customHeight="1">
      <c r="B60" s="319"/>
      <c r="C60" s="319"/>
      <c r="D60" s="319"/>
      <c r="E60" s="319"/>
      <c r="F60" s="319"/>
      <c r="G60" s="166"/>
    </row>
    <row r="61" spans="2:7" ht="15.75" customHeight="1">
      <c r="B61" s="319"/>
      <c r="C61" s="319"/>
      <c r="D61" s="319"/>
      <c r="E61" s="319"/>
      <c r="F61" s="319"/>
      <c r="G61" s="166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sheetProtection/>
  <mergeCells count="7">
    <mergeCell ref="B59:F59"/>
    <mergeCell ref="B60:F60"/>
    <mergeCell ref="B61:F61"/>
    <mergeCell ref="B1:F1"/>
    <mergeCell ref="B2:F2"/>
    <mergeCell ref="B3:F3"/>
    <mergeCell ref="B4:F4"/>
  </mergeCells>
  <printOptions horizontalCentered="1"/>
  <pageMargins left="0.5905511811023623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zoomScale="90" zoomScaleNormal="90" zoomScaleSheetLayoutView="100" zoomScalePageLayoutView="0" workbookViewId="0" topLeftCell="A1">
      <pane xSplit="2" ySplit="9" topLeftCell="C5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0" sqref="C50"/>
    </sheetView>
  </sheetViews>
  <sheetFormatPr defaultColWidth="11.421875" defaultRowHeight="12.75"/>
  <cols>
    <col min="1" max="1" width="0.5625" style="88" customWidth="1"/>
    <col min="2" max="2" width="59.57421875" style="88" bestFit="1" customWidth="1"/>
    <col min="3" max="8" width="18.8515625" style="88" customWidth="1"/>
    <col min="9" max="9" width="21.140625" style="88" customWidth="1"/>
    <col min="10" max="16384" width="11.421875" style="88" customWidth="1"/>
  </cols>
  <sheetData>
    <row r="1" spans="2:9" ht="15" customHeight="1">
      <c r="B1" s="320" t="s">
        <v>366</v>
      </c>
      <c r="C1" s="320"/>
      <c r="D1" s="320"/>
      <c r="E1" s="320"/>
      <c r="F1" s="320"/>
      <c r="G1" s="320"/>
      <c r="H1" s="320"/>
      <c r="I1" s="320"/>
    </row>
    <row r="2" spans="2:9" ht="15" customHeight="1">
      <c r="B2" s="323" t="str">
        <f>DVA!B2</f>
        <v>CNPJ  00.000.000/0001-00</v>
      </c>
      <c r="C2" s="323"/>
      <c r="D2" s="323"/>
      <c r="E2" s="323"/>
      <c r="F2" s="323"/>
      <c r="G2" s="323"/>
      <c r="H2" s="323"/>
      <c r="I2" s="323"/>
    </row>
    <row r="3" spans="2:9" ht="15" customHeight="1">
      <c r="B3" s="324" t="s">
        <v>309</v>
      </c>
      <c r="C3" s="324"/>
      <c r="D3" s="324"/>
      <c r="E3" s="324"/>
      <c r="F3" s="324"/>
      <c r="G3" s="324"/>
      <c r="H3" s="324"/>
      <c r="I3" s="324"/>
    </row>
    <row r="4" spans="1:9" ht="15" customHeight="1">
      <c r="A4" s="113"/>
      <c r="B4" s="348" t="s">
        <v>188</v>
      </c>
      <c r="C4" s="348"/>
      <c r="D4" s="348"/>
      <c r="E4" s="348"/>
      <c r="F4" s="348"/>
      <c r="G4" s="348"/>
      <c r="H4" s="348"/>
      <c r="I4" s="348"/>
    </row>
    <row r="5" spans="1:9" s="116" customFormat="1" ht="15" customHeight="1">
      <c r="A5" s="114"/>
      <c r="B5" s="115"/>
      <c r="C5" s="115"/>
      <c r="D5" s="115"/>
      <c r="E5" s="115"/>
      <c r="F5" s="115"/>
      <c r="G5" s="115"/>
      <c r="H5" s="115"/>
      <c r="I5" s="115"/>
    </row>
    <row r="6" spans="1:9" s="119" customFormat="1" ht="15" customHeight="1">
      <c r="A6" s="117"/>
      <c r="B6" s="344" t="s">
        <v>182</v>
      </c>
      <c r="C6" s="344" t="s">
        <v>236</v>
      </c>
      <c r="D6" s="342" t="s">
        <v>183</v>
      </c>
      <c r="E6" s="342"/>
      <c r="F6" s="342"/>
      <c r="G6" s="346" t="s">
        <v>235</v>
      </c>
      <c r="H6" s="346" t="s">
        <v>234</v>
      </c>
      <c r="I6" s="343" t="s">
        <v>187</v>
      </c>
    </row>
    <row r="7" spans="1:9" s="119" customFormat="1" ht="15" customHeight="1">
      <c r="A7" s="117"/>
      <c r="B7" s="345"/>
      <c r="C7" s="345"/>
      <c r="D7" s="118" t="s">
        <v>184</v>
      </c>
      <c r="E7" s="118" t="s">
        <v>185</v>
      </c>
      <c r="F7" s="118" t="s">
        <v>186</v>
      </c>
      <c r="G7" s="347"/>
      <c r="H7" s="347"/>
      <c r="I7" s="343"/>
    </row>
    <row r="8" spans="1:9" s="119" customFormat="1" ht="15" customHeight="1">
      <c r="A8" s="117"/>
      <c r="B8" s="120" t="s">
        <v>233</v>
      </c>
      <c r="C8" s="121">
        <v>39268604.49</v>
      </c>
      <c r="D8" s="121">
        <v>28642237.1</v>
      </c>
      <c r="E8" s="121">
        <v>103693254.44</v>
      </c>
      <c r="F8" s="121">
        <v>10971457.64</v>
      </c>
      <c r="G8" s="121">
        <v>38707415.65</v>
      </c>
      <c r="H8" s="121">
        <v>544171.6</v>
      </c>
      <c r="I8" s="121">
        <f>G8+F8+E8+D8+C8+H8</f>
        <v>221827140.92</v>
      </c>
    </row>
    <row r="9" spans="1:9" s="124" customFormat="1" ht="7.5" customHeight="1">
      <c r="A9" s="117"/>
      <c r="B9" s="122"/>
      <c r="C9" s="123"/>
      <c r="D9" s="123"/>
      <c r="E9" s="123"/>
      <c r="F9" s="123"/>
      <c r="G9" s="123"/>
      <c r="H9" s="123"/>
      <c r="I9" s="123"/>
    </row>
    <row r="10" spans="1:9" s="124" customFormat="1" ht="7.5" customHeight="1">
      <c r="A10" s="117"/>
      <c r="B10" s="125"/>
      <c r="C10" s="126"/>
      <c r="D10" s="126"/>
      <c r="E10" s="126"/>
      <c r="F10" s="126"/>
      <c r="G10" s="126"/>
      <c r="H10" s="126"/>
      <c r="I10" s="126"/>
    </row>
    <row r="11" spans="1:9" s="119" customFormat="1" ht="15" customHeight="1">
      <c r="A11" s="117"/>
      <c r="B11" s="127" t="s">
        <v>240</v>
      </c>
      <c r="C11" s="92"/>
      <c r="D11" s="92"/>
      <c r="E11" s="92"/>
      <c r="F11" s="92"/>
      <c r="G11" s="92"/>
      <c r="H11" s="92"/>
      <c r="I11" s="92"/>
    </row>
    <row r="12" spans="1:9" s="119" customFormat="1" ht="15" customHeight="1">
      <c r="A12" s="117"/>
      <c r="B12" s="128" t="s">
        <v>277</v>
      </c>
      <c r="C12" s="92">
        <v>85339.73</v>
      </c>
      <c r="D12" s="92"/>
      <c r="E12" s="92"/>
      <c r="F12" s="92"/>
      <c r="G12" s="92"/>
      <c r="H12" s="92"/>
      <c r="I12" s="92">
        <f>C12</f>
        <v>85339.73</v>
      </c>
    </row>
    <row r="13" spans="1:9" s="119" customFormat="1" ht="15" customHeight="1">
      <c r="A13" s="117"/>
      <c r="B13" s="128" t="s">
        <v>278</v>
      </c>
      <c r="C13" s="92"/>
      <c r="D13" s="92"/>
      <c r="E13" s="92"/>
      <c r="F13" s="92"/>
      <c r="G13" s="92"/>
      <c r="H13" s="92">
        <v>-418807.59</v>
      </c>
      <c r="I13" s="92">
        <f>H13</f>
        <v>-418807.59</v>
      </c>
    </row>
    <row r="14" spans="1:9" s="119" customFormat="1" ht="15" customHeight="1">
      <c r="A14" s="117"/>
      <c r="B14" s="128" t="s">
        <v>279</v>
      </c>
      <c r="C14" s="92">
        <v>125364.01</v>
      </c>
      <c r="D14" s="92"/>
      <c r="E14" s="92"/>
      <c r="F14" s="92"/>
      <c r="G14" s="92"/>
      <c r="H14" s="92">
        <f>-C14</f>
        <v>-125364.01</v>
      </c>
      <c r="I14" s="92"/>
    </row>
    <row r="15" spans="1:9" s="119" customFormat="1" ht="5.25" customHeight="1">
      <c r="A15" s="117"/>
      <c r="B15" s="128"/>
      <c r="C15" s="92"/>
      <c r="D15" s="92"/>
      <c r="E15" s="92"/>
      <c r="F15" s="92"/>
      <c r="G15" s="92"/>
      <c r="H15" s="92"/>
      <c r="I15" s="92"/>
    </row>
    <row r="16" spans="1:9" s="119" customFormat="1" ht="15" customHeight="1">
      <c r="A16" s="117"/>
      <c r="B16" s="129" t="s">
        <v>242</v>
      </c>
      <c r="C16" s="130"/>
      <c r="D16" s="130"/>
      <c r="E16" s="130"/>
      <c r="F16" s="130"/>
      <c r="G16" s="130"/>
      <c r="H16" s="131"/>
      <c r="I16" s="93"/>
    </row>
    <row r="17" spans="1:9" s="119" customFormat="1" ht="15" customHeight="1">
      <c r="A17" s="117"/>
      <c r="B17" s="132" t="s">
        <v>82</v>
      </c>
      <c r="C17" s="91">
        <v>-233834.95</v>
      </c>
      <c r="D17" s="91"/>
      <c r="E17" s="91"/>
      <c r="F17" s="91"/>
      <c r="G17" s="91"/>
      <c r="H17" s="92"/>
      <c r="I17" s="94">
        <f>C17+E17</f>
        <v>-233834.95</v>
      </c>
    </row>
    <row r="18" spans="1:9" s="119" customFormat="1" ht="15" customHeight="1">
      <c r="A18" s="117"/>
      <c r="B18" s="132" t="s">
        <v>83</v>
      </c>
      <c r="C18" s="91">
        <v>-320813.11</v>
      </c>
      <c r="D18" s="91"/>
      <c r="E18" s="91"/>
      <c r="F18" s="91"/>
      <c r="G18" s="91"/>
      <c r="H18" s="92"/>
      <c r="I18" s="94">
        <f>C18</f>
        <v>-320813.11</v>
      </c>
    </row>
    <row r="19" spans="1:9" s="119" customFormat="1" ht="15" customHeight="1">
      <c r="A19" s="117"/>
      <c r="B19" s="132" t="s">
        <v>84</v>
      </c>
      <c r="C19" s="91">
        <v>2040454.81</v>
      </c>
      <c r="D19" s="91"/>
      <c r="E19" s="91"/>
      <c r="F19" s="91"/>
      <c r="G19" s="91"/>
      <c r="H19" s="92"/>
      <c r="I19" s="94">
        <f>C19</f>
        <v>2040454.81</v>
      </c>
    </row>
    <row r="20" spans="1:9" s="119" customFormat="1" ht="15" customHeight="1">
      <c r="A20" s="117"/>
      <c r="B20" s="132" t="s">
        <v>85</v>
      </c>
      <c r="C20" s="91">
        <v>-42379.49</v>
      </c>
      <c r="D20" s="91"/>
      <c r="E20" s="91">
        <f>C20*-1</f>
        <v>42379.49</v>
      </c>
      <c r="F20" s="91"/>
      <c r="G20" s="91"/>
      <c r="H20" s="92"/>
      <c r="I20" s="94"/>
    </row>
    <row r="21" spans="1:9" s="119" customFormat="1" ht="15" customHeight="1">
      <c r="A21" s="117"/>
      <c r="B21" s="132" t="s">
        <v>203</v>
      </c>
      <c r="C21" s="91">
        <v>-5033120</v>
      </c>
      <c r="D21" s="91"/>
      <c r="E21" s="91"/>
      <c r="F21" s="91"/>
      <c r="G21" s="91"/>
      <c r="H21" s="92"/>
      <c r="I21" s="94">
        <f>C21</f>
        <v>-5033120</v>
      </c>
    </row>
    <row r="22" spans="1:9" s="119" customFormat="1" ht="15" customHeight="1">
      <c r="A22" s="117"/>
      <c r="B22" s="132" t="s">
        <v>202</v>
      </c>
      <c r="C22" s="91"/>
      <c r="D22" s="91">
        <v>1279866.93</v>
      </c>
      <c r="E22" s="91"/>
      <c r="F22" s="91"/>
      <c r="G22" s="91"/>
      <c r="H22" s="92"/>
      <c r="I22" s="94">
        <f>D22</f>
        <v>1279866.93</v>
      </c>
    </row>
    <row r="23" spans="1:9" s="119" customFormat="1" ht="15" customHeight="1">
      <c r="A23" s="117"/>
      <c r="B23" s="132" t="s">
        <v>191</v>
      </c>
      <c r="C23" s="91"/>
      <c r="D23" s="91">
        <v>253972.61</v>
      </c>
      <c r="E23" s="91"/>
      <c r="F23" s="91"/>
      <c r="G23" s="91"/>
      <c r="H23" s="92"/>
      <c r="I23" s="94">
        <f>D23</f>
        <v>253972.61</v>
      </c>
    </row>
    <row r="24" spans="1:9" s="119" customFormat="1" ht="15" customHeight="1">
      <c r="A24" s="117"/>
      <c r="B24" s="132" t="s">
        <v>190</v>
      </c>
      <c r="C24" s="91"/>
      <c r="D24" s="91"/>
      <c r="E24" s="91"/>
      <c r="F24" s="91"/>
      <c r="G24" s="91">
        <v>-403439.9</v>
      </c>
      <c r="H24" s="92"/>
      <c r="I24" s="94">
        <f>G24</f>
        <v>-403439.9</v>
      </c>
    </row>
    <row r="25" spans="1:9" s="119" customFormat="1" ht="5.25" customHeight="1">
      <c r="A25" s="117"/>
      <c r="B25" s="132"/>
      <c r="C25" s="91"/>
      <c r="D25" s="91"/>
      <c r="E25" s="91"/>
      <c r="F25" s="91"/>
      <c r="G25" s="91"/>
      <c r="H25" s="92"/>
      <c r="I25" s="94"/>
    </row>
    <row r="26" spans="1:9" s="119" customFormat="1" ht="15" customHeight="1">
      <c r="A26" s="117"/>
      <c r="B26" s="133" t="s">
        <v>86</v>
      </c>
      <c r="C26" s="131"/>
      <c r="D26" s="131"/>
      <c r="E26" s="131"/>
      <c r="F26" s="131"/>
      <c r="G26" s="131"/>
      <c r="H26" s="131"/>
      <c r="I26" s="131"/>
    </row>
    <row r="27" spans="1:9" s="119" customFormat="1" ht="15" customHeight="1">
      <c r="A27" s="117"/>
      <c r="B27" s="128" t="s">
        <v>87</v>
      </c>
      <c r="C27" s="92"/>
      <c r="D27" s="92"/>
      <c r="E27" s="92"/>
      <c r="F27" s="92"/>
      <c r="G27" s="92"/>
      <c r="H27" s="92">
        <f>DRE!F47</f>
        <v>26112960.189999983</v>
      </c>
      <c r="I27" s="92">
        <f>H27</f>
        <v>26112960.189999983</v>
      </c>
    </row>
    <row r="28" spans="1:9" s="119" customFormat="1" ht="15" customHeight="1">
      <c r="A28" s="117"/>
      <c r="B28" s="128" t="s">
        <v>134</v>
      </c>
      <c r="C28" s="92"/>
      <c r="D28" s="92"/>
      <c r="E28" s="92"/>
      <c r="F28" s="92"/>
      <c r="G28" s="92">
        <v>-1755314.21</v>
      </c>
      <c r="H28" s="92">
        <f>-D28-E28-G28</f>
        <v>1755314.21</v>
      </c>
      <c r="I28" s="92">
        <f>G28+H28</f>
        <v>0</v>
      </c>
    </row>
    <row r="29" spans="1:9" s="119" customFormat="1" ht="15" customHeight="1">
      <c r="A29" s="117"/>
      <c r="B29" s="128" t="s">
        <v>266</v>
      </c>
      <c r="C29" s="92"/>
      <c r="D29" s="92"/>
      <c r="E29" s="92">
        <v>-6927849.29</v>
      </c>
      <c r="F29" s="92"/>
      <c r="G29" s="92"/>
      <c r="H29" s="92">
        <f>E29*-1</f>
        <v>6927849.29</v>
      </c>
      <c r="I29" s="92">
        <f>H29+E29</f>
        <v>0</v>
      </c>
    </row>
    <row r="30" spans="1:9" s="119" customFormat="1" ht="15" customHeight="1">
      <c r="A30" s="117"/>
      <c r="B30" s="128" t="s">
        <v>258</v>
      </c>
      <c r="C30" s="92"/>
      <c r="D30" s="92">
        <v>4129964.2</v>
      </c>
      <c r="E30" s="92"/>
      <c r="F30" s="92"/>
      <c r="G30" s="92"/>
      <c r="H30" s="92">
        <f>D30*-1</f>
        <v>-4129964.2</v>
      </c>
      <c r="I30" s="92">
        <f>H30+D30</f>
        <v>0</v>
      </c>
    </row>
    <row r="31" spans="1:9" s="119" customFormat="1" ht="15" customHeight="1">
      <c r="A31" s="117"/>
      <c r="B31" s="134" t="s">
        <v>275</v>
      </c>
      <c r="C31" s="92"/>
      <c r="D31" s="92"/>
      <c r="E31" s="92">
        <v>6257160.99</v>
      </c>
      <c r="F31" s="92"/>
      <c r="G31" s="92"/>
      <c r="H31" s="92">
        <f>-E31</f>
        <v>-6257160.99</v>
      </c>
      <c r="I31" s="135">
        <f>E31+H31</f>
        <v>0</v>
      </c>
    </row>
    <row r="32" spans="1:9" s="119" customFormat="1" ht="15" customHeight="1">
      <c r="A32" s="117"/>
      <c r="B32" s="134" t="s">
        <v>88</v>
      </c>
      <c r="C32" s="92"/>
      <c r="D32" s="92"/>
      <c r="E32" s="92">
        <v>12204499.25</v>
      </c>
      <c r="F32" s="92"/>
      <c r="G32" s="92"/>
      <c r="H32" s="92">
        <f>-E32</f>
        <v>-12204499.25</v>
      </c>
      <c r="I32" s="135">
        <f>E32+H32</f>
        <v>0</v>
      </c>
    </row>
    <row r="33" spans="1:9" s="119" customFormat="1" ht="15" customHeight="1">
      <c r="A33" s="117"/>
      <c r="B33" s="136" t="s">
        <v>209</v>
      </c>
      <c r="C33" s="92"/>
      <c r="D33" s="92"/>
      <c r="E33" s="92">
        <v>2440899.85</v>
      </c>
      <c r="F33" s="92"/>
      <c r="G33" s="92"/>
      <c r="H33" s="92">
        <f>-E33</f>
        <v>-2440899.85</v>
      </c>
      <c r="I33" s="135">
        <f>H33+E33</f>
        <v>0</v>
      </c>
    </row>
    <row r="34" spans="1:9" s="119" customFormat="1" ht="15" customHeight="1">
      <c r="A34" s="117"/>
      <c r="B34" s="128" t="s">
        <v>267</v>
      </c>
      <c r="C34" s="92"/>
      <c r="D34" s="92">
        <v>2469010.52</v>
      </c>
      <c r="E34" s="92"/>
      <c r="F34" s="92"/>
      <c r="G34" s="92"/>
      <c r="H34" s="92">
        <f>-D34</f>
        <v>-2469010.52</v>
      </c>
      <c r="I34" s="135">
        <f>D34+H34</f>
        <v>0</v>
      </c>
    </row>
    <row r="35" spans="1:9" s="119" customFormat="1" ht="15" customHeight="1">
      <c r="A35" s="117"/>
      <c r="B35" s="128" t="s">
        <v>276</v>
      </c>
      <c r="C35" s="92"/>
      <c r="D35" s="92"/>
      <c r="E35" s="92"/>
      <c r="F35" s="92">
        <v>0</v>
      </c>
      <c r="G35" s="92"/>
      <c r="H35" s="92">
        <f>-F35</f>
        <v>0</v>
      </c>
      <c r="I35" s="135">
        <f>F35+H35</f>
        <v>0</v>
      </c>
    </row>
    <row r="36" spans="1:9" s="119" customFormat="1" ht="15" customHeight="1">
      <c r="A36" s="117"/>
      <c r="B36" s="128" t="s">
        <v>205</v>
      </c>
      <c r="C36" s="92"/>
      <c r="D36" s="92"/>
      <c r="E36" s="92"/>
      <c r="F36" s="92"/>
      <c r="G36" s="92"/>
      <c r="H36" s="92">
        <v>-5902192.37</v>
      </c>
      <c r="I36" s="92">
        <f>H36</f>
        <v>-5902192.37</v>
      </c>
    </row>
    <row r="37" spans="1:9" s="119" customFormat="1" ht="5.25" customHeight="1">
      <c r="A37" s="117"/>
      <c r="B37" s="128"/>
      <c r="C37" s="92"/>
      <c r="D37" s="92"/>
      <c r="E37" s="92"/>
      <c r="F37" s="92"/>
      <c r="G37" s="92"/>
      <c r="H37" s="92"/>
      <c r="I37" s="92"/>
    </row>
    <row r="38" spans="1:9" s="119" customFormat="1" ht="15" customHeight="1">
      <c r="A38" s="117"/>
      <c r="B38" s="120" t="s">
        <v>243</v>
      </c>
      <c r="C38" s="121">
        <f aca="true" t="shared" si="0" ref="C38:I38">SUM(C8:C37)</f>
        <v>35889615.489999995</v>
      </c>
      <c r="D38" s="121">
        <f t="shared" si="0"/>
        <v>36775051.36000001</v>
      </c>
      <c r="E38" s="121">
        <f t="shared" si="0"/>
        <v>117710344.72999997</v>
      </c>
      <c r="F38" s="121">
        <f t="shared" si="0"/>
        <v>10971457.64</v>
      </c>
      <c r="G38" s="121">
        <f t="shared" si="0"/>
        <v>36548661.54</v>
      </c>
      <c r="H38" s="121">
        <f t="shared" si="0"/>
        <v>1392396.5099999858</v>
      </c>
      <c r="I38" s="121">
        <f t="shared" si="0"/>
        <v>239287527.26999998</v>
      </c>
    </row>
    <row r="39" spans="1:9" s="119" customFormat="1" ht="15" customHeight="1">
      <c r="A39" s="117"/>
      <c r="B39" s="125"/>
      <c r="C39" s="126"/>
      <c r="D39" s="126"/>
      <c r="E39" s="126"/>
      <c r="F39" s="126"/>
      <c r="G39" s="126"/>
      <c r="H39" s="126"/>
      <c r="I39" s="126"/>
    </row>
    <row r="40" spans="1:9" s="119" customFormat="1" ht="15" customHeight="1">
      <c r="A40" s="117"/>
      <c r="B40" s="127" t="s">
        <v>313</v>
      </c>
      <c r="C40" s="92"/>
      <c r="D40" s="92"/>
      <c r="E40" s="92"/>
      <c r="F40" s="92"/>
      <c r="G40" s="92"/>
      <c r="H40" s="92"/>
      <c r="I40" s="92"/>
    </row>
    <row r="41" spans="1:9" s="273" customFormat="1" ht="15" customHeight="1" hidden="1">
      <c r="A41" s="271"/>
      <c r="B41" s="272" t="s">
        <v>277</v>
      </c>
      <c r="C41" s="270">
        <v>0</v>
      </c>
      <c r="D41" s="270"/>
      <c r="E41" s="270"/>
      <c r="F41" s="270"/>
      <c r="G41" s="270"/>
      <c r="H41" s="270"/>
      <c r="I41" s="270">
        <f>C41</f>
        <v>0</v>
      </c>
    </row>
    <row r="42" spans="1:9" s="119" customFormat="1" ht="15" customHeight="1">
      <c r="A42" s="117"/>
      <c r="B42" s="128" t="s">
        <v>278</v>
      </c>
      <c r="C42" s="92"/>
      <c r="D42" s="92"/>
      <c r="E42" s="92"/>
      <c r="F42" s="92"/>
      <c r="G42" s="92"/>
      <c r="H42" s="92">
        <v>-1280670.03</v>
      </c>
      <c r="I42" s="92">
        <f>H42</f>
        <v>-1280670.03</v>
      </c>
    </row>
    <row r="43" spans="1:9" s="119" customFormat="1" ht="15" customHeight="1">
      <c r="A43" s="117"/>
      <c r="B43" s="128" t="s">
        <v>279</v>
      </c>
      <c r="C43" s="92">
        <v>111726.48</v>
      </c>
      <c r="D43" s="92"/>
      <c r="E43" s="92"/>
      <c r="F43" s="92"/>
      <c r="G43" s="92"/>
      <c r="H43" s="92">
        <f>-C43</f>
        <v>-111726.48</v>
      </c>
      <c r="I43" s="92"/>
    </row>
    <row r="44" spans="1:9" s="119" customFormat="1" ht="5.25" customHeight="1">
      <c r="A44" s="117"/>
      <c r="B44" s="128"/>
      <c r="C44" s="92"/>
      <c r="D44" s="92"/>
      <c r="E44" s="92"/>
      <c r="F44" s="92"/>
      <c r="G44" s="92"/>
      <c r="H44" s="92"/>
      <c r="I44" s="92"/>
    </row>
    <row r="45" spans="1:9" s="119" customFormat="1" ht="15" customHeight="1">
      <c r="A45" s="117"/>
      <c r="B45" s="129" t="s">
        <v>314</v>
      </c>
      <c r="C45" s="130"/>
      <c r="D45" s="130"/>
      <c r="E45" s="130"/>
      <c r="F45" s="130"/>
      <c r="G45" s="130"/>
      <c r="H45" s="131"/>
      <c r="I45" s="93"/>
    </row>
    <row r="46" spans="1:9" s="119" customFormat="1" ht="15" customHeight="1">
      <c r="A46" s="117"/>
      <c r="B46" s="132" t="s">
        <v>82</v>
      </c>
      <c r="C46" s="91">
        <f>-(150418.29+388408.03)</f>
        <v>-538826.3200000001</v>
      </c>
      <c r="D46" s="91"/>
      <c r="E46" s="91"/>
      <c r="F46" s="91"/>
      <c r="G46" s="91"/>
      <c r="H46" s="92"/>
      <c r="I46" s="94">
        <f>C46+E46</f>
        <v>-538826.3200000001</v>
      </c>
    </row>
    <row r="47" spans="1:9" s="119" customFormat="1" ht="15" customHeight="1">
      <c r="A47" s="117"/>
      <c r="B47" s="132" t="s">
        <v>350</v>
      </c>
      <c r="C47" s="91">
        <v>-376007.88</v>
      </c>
      <c r="D47" s="91"/>
      <c r="E47" s="91"/>
      <c r="F47" s="91"/>
      <c r="G47" s="91"/>
      <c r="H47" s="92"/>
      <c r="I47" s="94">
        <f>C47</f>
        <v>-376007.88</v>
      </c>
    </row>
    <row r="48" spans="1:9" s="119" customFormat="1" ht="15" customHeight="1">
      <c r="A48" s="117"/>
      <c r="B48" s="132" t="s">
        <v>84</v>
      </c>
      <c r="C48" s="91">
        <v>1687097.1</v>
      </c>
      <c r="D48" s="91"/>
      <c r="E48" s="91"/>
      <c r="F48" s="91"/>
      <c r="G48" s="91"/>
      <c r="H48" s="92"/>
      <c r="I48" s="94">
        <f>C48</f>
        <v>1687097.1</v>
      </c>
    </row>
    <row r="49" spans="1:9" s="273" customFormat="1" ht="15" customHeight="1" hidden="1">
      <c r="A49" s="271"/>
      <c r="B49" s="274" t="s">
        <v>85</v>
      </c>
      <c r="C49" s="275">
        <v>0</v>
      </c>
      <c r="D49" s="275"/>
      <c r="E49" s="275">
        <f>C49*-1</f>
        <v>0</v>
      </c>
      <c r="F49" s="275"/>
      <c r="G49" s="275"/>
      <c r="H49" s="270"/>
      <c r="I49" s="276"/>
    </row>
    <row r="50" spans="1:9" s="119" customFormat="1" ht="15" customHeight="1">
      <c r="A50" s="117"/>
      <c r="B50" s="132" t="s">
        <v>203</v>
      </c>
      <c r="C50" s="91">
        <v>35155090</v>
      </c>
      <c r="D50" s="91"/>
      <c r="E50" s="91"/>
      <c r="F50" s="91"/>
      <c r="G50" s="91"/>
      <c r="H50" s="92"/>
      <c r="I50" s="94">
        <f>C50</f>
        <v>35155090</v>
      </c>
    </row>
    <row r="51" spans="1:9" s="119" customFormat="1" ht="15" customHeight="1">
      <c r="A51" s="117"/>
      <c r="B51" s="132" t="s">
        <v>346</v>
      </c>
      <c r="C51" s="91"/>
      <c r="D51" s="91">
        <v>747408.53</v>
      </c>
      <c r="E51" s="216"/>
      <c r="F51" s="91"/>
      <c r="G51" s="91"/>
      <c r="H51" s="92"/>
      <c r="I51" s="94">
        <f>D51</f>
        <v>747408.53</v>
      </c>
    </row>
    <row r="52" spans="1:9" s="119" customFormat="1" ht="15" customHeight="1">
      <c r="A52" s="117"/>
      <c r="B52" s="132" t="s">
        <v>347</v>
      </c>
      <c r="C52" s="91"/>
      <c r="D52" s="91">
        <v>265884.57</v>
      </c>
      <c r="E52" s="91"/>
      <c r="F52" s="91"/>
      <c r="G52" s="91"/>
      <c r="H52" s="92"/>
      <c r="I52" s="94">
        <f>D52</f>
        <v>265884.57</v>
      </c>
    </row>
    <row r="53" spans="1:9" s="119" customFormat="1" ht="15" customHeight="1">
      <c r="A53" s="117"/>
      <c r="B53" s="132" t="s">
        <v>348</v>
      </c>
      <c r="C53" s="91"/>
      <c r="D53" s="91"/>
      <c r="E53" s="91"/>
      <c r="F53" s="91"/>
      <c r="G53" s="91">
        <v>-34542.86</v>
      </c>
      <c r="H53" s="92"/>
      <c r="I53" s="94">
        <f>G53</f>
        <v>-34542.86</v>
      </c>
    </row>
    <row r="54" spans="1:9" s="119" customFormat="1" ht="5.25" customHeight="1">
      <c r="A54" s="117"/>
      <c r="B54" s="132"/>
      <c r="C54" s="91"/>
      <c r="D54" s="91"/>
      <c r="E54" s="91"/>
      <c r="F54" s="91"/>
      <c r="G54" s="91"/>
      <c r="H54" s="92"/>
      <c r="I54" s="94"/>
    </row>
    <row r="55" spans="1:9" s="119" customFormat="1" ht="15" customHeight="1">
      <c r="A55" s="117"/>
      <c r="B55" s="133" t="s">
        <v>86</v>
      </c>
      <c r="C55" s="131"/>
      <c r="D55" s="131"/>
      <c r="E55" s="131"/>
      <c r="F55" s="131"/>
      <c r="G55" s="131"/>
      <c r="H55" s="131"/>
      <c r="I55" s="131"/>
    </row>
    <row r="56" spans="1:9" s="119" customFormat="1" ht="15" customHeight="1">
      <c r="A56" s="117"/>
      <c r="B56" s="128" t="s">
        <v>87</v>
      </c>
      <c r="C56" s="92"/>
      <c r="D56" s="92"/>
      <c r="E56" s="92"/>
      <c r="F56" s="92"/>
      <c r="G56" s="92"/>
      <c r="H56" s="92">
        <f>DRE!D47</f>
        <v>58042993.05000003</v>
      </c>
      <c r="I56" s="92">
        <f>H56</f>
        <v>58042993.05000003</v>
      </c>
    </row>
    <row r="57" spans="1:9" s="119" customFormat="1" ht="15" customHeight="1">
      <c r="A57" s="117"/>
      <c r="B57" s="128" t="s">
        <v>339</v>
      </c>
      <c r="C57" s="92"/>
      <c r="D57" s="92"/>
      <c r="E57" s="92"/>
      <c r="F57" s="92"/>
      <c r="G57" s="92">
        <v>-1702570.34</v>
      </c>
      <c r="H57" s="92">
        <f>-D57-E57-G57</f>
        <v>1702570.34</v>
      </c>
      <c r="I57" s="92">
        <f>G57+H57</f>
        <v>0</v>
      </c>
    </row>
    <row r="58" spans="1:9" s="119" customFormat="1" ht="15" customHeight="1">
      <c r="A58" s="117"/>
      <c r="B58" s="128" t="s">
        <v>338</v>
      </c>
      <c r="C58" s="92"/>
      <c r="D58" s="92"/>
      <c r="E58" s="92">
        <v>-7155543.07</v>
      </c>
      <c r="F58" s="92"/>
      <c r="G58" s="92"/>
      <c r="H58" s="92">
        <f>E58*-1</f>
        <v>7155543.07</v>
      </c>
      <c r="I58" s="92">
        <f>E58+H58</f>
        <v>0</v>
      </c>
    </row>
    <row r="59" spans="1:9" s="119" customFormat="1" ht="15" customHeight="1">
      <c r="A59" s="117"/>
      <c r="B59" s="128" t="s">
        <v>340</v>
      </c>
      <c r="C59" s="92"/>
      <c r="D59" s="92">
        <v>1495108.43</v>
      </c>
      <c r="E59" s="92"/>
      <c r="F59" s="92"/>
      <c r="G59" s="92"/>
      <c r="H59" s="92">
        <f>D59*-1</f>
        <v>-1495108.43</v>
      </c>
      <c r="I59" s="92">
        <f>D59+H59</f>
        <v>0</v>
      </c>
    </row>
    <row r="60" spans="1:9" s="119" customFormat="1" ht="15" customHeight="1">
      <c r="A60" s="117"/>
      <c r="B60" s="134" t="s">
        <v>341</v>
      </c>
      <c r="C60" s="92"/>
      <c r="D60" s="92"/>
      <c r="E60" s="92">
        <v>958884.98</v>
      </c>
      <c r="F60" s="92"/>
      <c r="G60" s="92"/>
      <c r="H60" s="92">
        <f>-E60</f>
        <v>-958884.98</v>
      </c>
      <c r="I60" s="135">
        <f>E60+H60</f>
        <v>0</v>
      </c>
    </row>
    <row r="61" spans="1:9" s="119" customFormat="1" ht="15" customHeight="1">
      <c r="A61" s="117"/>
      <c r="B61" s="134" t="s">
        <v>381</v>
      </c>
      <c r="C61" s="92"/>
      <c r="D61" s="92"/>
      <c r="E61" s="92">
        <v>32223556.53</v>
      </c>
      <c r="F61" s="92"/>
      <c r="G61" s="92"/>
      <c r="H61" s="92">
        <f>-E61</f>
        <v>-32223556.53</v>
      </c>
      <c r="I61" s="135">
        <f>E61+H61</f>
        <v>0</v>
      </c>
    </row>
    <row r="62" spans="1:9" s="119" customFormat="1" ht="15" customHeight="1">
      <c r="A62" s="117"/>
      <c r="B62" s="136" t="s">
        <v>342</v>
      </c>
      <c r="C62" s="92"/>
      <c r="D62" s="92"/>
      <c r="E62" s="92">
        <v>6444711.31</v>
      </c>
      <c r="F62" s="92"/>
      <c r="G62" s="92"/>
      <c r="H62" s="92">
        <f>-E62</f>
        <v>-6444711.31</v>
      </c>
      <c r="I62" s="135">
        <f>E62+H62</f>
        <v>0</v>
      </c>
    </row>
    <row r="63" spans="1:9" s="119" customFormat="1" ht="15" customHeight="1">
      <c r="A63" s="117"/>
      <c r="B63" s="128" t="s">
        <v>343</v>
      </c>
      <c r="C63" s="92"/>
      <c r="D63" s="92">
        <v>14471519.1</v>
      </c>
      <c r="E63" s="92"/>
      <c r="F63" s="92"/>
      <c r="G63" s="92"/>
      <c r="H63" s="92">
        <f>-D63</f>
        <v>-14471519.1</v>
      </c>
      <c r="I63" s="240">
        <f>D63+H63</f>
        <v>0</v>
      </c>
    </row>
    <row r="64" spans="1:9" s="119" customFormat="1" ht="15" customHeight="1">
      <c r="A64" s="117"/>
      <c r="B64" s="128" t="s">
        <v>344</v>
      </c>
      <c r="C64" s="92"/>
      <c r="D64" s="92"/>
      <c r="E64" s="92"/>
      <c r="F64" s="92">
        <v>382227.54</v>
      </c>
      <c r="G64" s="92"/>
      <c r="H64" s="92">
        <f>-F64</f>
        <v>-382227.54</v>
      </c>
      <c r="I64" s="240"/>
    </row>
    <row r="65" spans="1:9" s="119" customFormat="1" ht="15" customHeight="1">
      <c r="A65" s="117"/>
      <c r="B65" s="128" t="s">
        <v>345</v>
      </c>
      <c r="C65" s="92"/>
      <c r="D65" s="92"/>
      <c r="E65" s="92"/>
      <c r="F65" s="92">
        <v>1511993.4</v>
      </c>
      <c r="G65" s="92"/>
      <c r="H65" s="92">
        <f>-F65</f>
        <v>-1511993.4</v>
      </c>
      <c r="I65" s="135">
        <f>F65+H65</f>
        <v>0</v>
      </c>
    </row>
    <row r="66" spans="1:9" s="119" customFormat="1" ht="15" customHeight="1">
      <c r="A66" s="117"/>
      <c r="B66" s="128" t="s">
        <v>205</v>
      </c>
      <c r="C66" s="92"/>
      <c r="D66" s="92"/>
      <c r="E66" s="92"/>
      <c r="F66" s="92"/>
      <c r="G66" s="92"/>
      <c r="H66" s="270">
        <v>-8299793.18</v>
      </c>
      <c r="I66" s="92">
        <f>H66</f>
        <v>-8299793.18</v>
      </c>
    </row>
    <row r="67" spans="1:9" s="119" customFormat="1" ht="5.25" customHeight="1">
      <c r="A67" s="117"/>
      <c r="B67" s="128"/>
      <c r="C67" s="92"/>
      <c r="D67" s="92"/>
      <c r="E67" s="92"/>
      <c r="F67" s="92"/>
      <c r="G67" s="92"/>
      <c r="H67" s="92"/>
      <c r="I67" s="92"/>
    </row>
    <row r="68" spans="1:9" s="138" customFormat="1" ht="28.5" customHeight="1">
      <c r="A68" s="137"/>
      <c r="B68" s="120" t="s">
        <v>324</v>
      </c>
      <c r="C68" s="121">
        <f aca="true" t="shared" si="1" ref="C68:I68">SUM(C38:C67)</f>
        <v>71928694.86999999</v>
      </c>
      <c r="D68" s="121">
        <f t="shared" si="1"/>
        <v>53754971.99000001</v>
      </c>
      <c r="E68" s="121">
        <f t="shared" si="1"/>
        <v>150181954.47999996</v>
      </c>
      <c r="F68" s="121">
        <f t="shared" si="1"/>
        <v>12865678.58</v>
      </c>
      <c r="G68" s="121">
        <f t="shared" si="1"/>
        <v>34811548.339999996</v>
      </c>
      <c r="H68" s="121">
        <f>SUM(H38:H67)</f>
        <v>1113311.9900000207</v>
      </c>
      <c r="I68" s="121">
        <f t="shared" si="1"/>
        <v>324656160.24999994</v>
      </c>
    </row>
    <row r="69" ht="3.75" customHeight="1"/>
    <row r="70" spans="2:9" ht="14.25">
      <c r="B70" s="139"/>
      <c r="C70" s="139"/>
      <c r="D70" s="139"/>
      <c r="E70" s="139"/>
      <c r="F70" s="139"/>
      <c r="G70" s="139"/>
      <c r="H70" s="139"/>
      <c r="I70" s="140"/>
    </row>
    <row r="71" spans="2:9" ht="42.75" customHeight="1">
      <c r="B71" s="139"/>
      <c r="C71" s="139"/>
      <c r="D71" s="139"/>
      <c r="E71" s="139"/>
      <c r="F71" s="139"/>
      <c r="G71" s="141"/>
      <c r="H71" s="139"/>
      <c r="I71" s="139"/>
    </row>
    <row r="72" spans="2:9" ht="14.25">
      <c r="B72" s="139"/>
      <c r="C72" s="139"/>
      <c r="D72" s="139"/>
      <c r="E72" s="139"/>
      <c r="F72" s="139"/>
      <c r="G72" s="139"/>
      <c r="H72" s="139"/>
      <c r="I72" s="139"/>
    </row>
    <row r="73" spans="2:9" ht="14.25">
      <c r="B73" s="341"/>
      <c r="C73" s="341"/>
      <c r="D73" s="341"/>
      <c r="E73" s="341"/>
      <c r="F73" s="341"/>
      <c r="G73" s="341"/>
      <c r="H73" s="341"/>
      <c r="I73" s="341"/>
    </row>
    <row r="74" spans="2:9" ht="14.25">
      <c r="B74" s="341"/>
      <c r="C74" s="341"/>
      <c r="D74" s="341"/>
      <c r="E74" s="341"/>
      <c r="F74" s="341"/>
      <c r="G74" s="341"/>
      <c r="H74" s="341"/>
      <c r="I74" s="341"/>
    </row>
    <row r="75" spans="2:9" ht="14.25">
      <c r="B75" s="341"/>
      <c r="C75" s="341"/>
      <c r="D75" s="341"/>
      <c r="E75" s="341"/>
      <c r="F75" s="341"/>
      <c r="G75" s="341"/>
      <c r="H75" s="341"/>
      <c r="I75" s="341"/>
    </row>
    <row r="76" spans="2:9" ht="14.25">
      <c r="B76" s="139"/>
      <c r="C76" s="139"/>
      <c r="D76" s="139"/>
      <c r="E76" s="139"/>
      <c r="F76" s="139"/>
      <c r="G76" s="139"/>
      <c r="H76" s="139"/>
      <c r="I76" s="139"/>
    </row>
    <row r="77" spans="2:9" ht="14.25">
      <c r="B77" s="139"/>
      <c r="C77" s="139"/>
      <c r="D77" s="139"/>
      <c r="E77" s="139"/>
      <c r="F77" s="139"/>
      <c r="G77" s="139"/>
      <c r="H77" s="139"/>
      <c r="I77" s="139"/>
    </row>
  </sheetData>
  <sheetProtection/>
  <mergeCells count="13">
    <mergeCell ref="B1:I1"/>
    <mergeCell ref="B2:I2"/>
    <mergeCell ref="B4:I4"/>
    <mergeCell ref="B75:I75"/>
    <mergeCell ref="B3:I3"/>
    <mergeCell ref="D6:F6"/>
    <mergeCell ref="I6:I7"/>
    <mergeCell ref="B73:I73"/>
    <mergeCell ref="B74:I74"/>
    <mergeCell ref="B6:B7"/>
    <mergeCell ref="H6:H7"/>
    <mergeCell ref="G6:G7"/>
    <mergeCell ref="C6:C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3.00390625" style="0" customWidth="1"/>
    <col min="2" max="2" width="4.7109375" style="0" customWidth="1"/>
    <col min="4" max="4" width="32.7109375" style="0" customWidth="1"/>
    <col min="5" max="5" width="18.8515625" style="0" customWidth="1"/>
    <col min="7" max="7" width="19.57421875" style="0" customWidth="1"/>
  </cols>
  <sheetData>
    <row r="3" ht="18">
      <c r="B3" s="280" t="s">
        <v>351</v>
      </c>
    </row>
    <row r="6" spans="2:7" ht="14.25">
      <c r="B6" s="281" t="s">
        <v>352</v>
      </c>
      <c r="C6" s="281"/>
      <c r="D6" s="281"/>
      <c r="E6" s="281">
        <v>2017</v>
      </c>
      <c r="F6" s="281"/>
      <c r="G6" s="281">
        <v>2016</v>
      </c>
    </row>
    <row r="7" spans="2:7" ht="14.25">
      <c r="B7" s="282"/>
      <c r="C7" s="282"/>
      <c r="D7" s="282"/>
      <c r="E7" s="282"/>
      <c r="F7" s="282"/>
      <c r="G7" s="282"/>
    </row>
    <row r="8" spans="2:7" ht="14.25">
      <c r="B8" s="282"/>
      <c r="C8" s="282" t="s">
        <v>353</v>
      </c>
      <c r="D8" s="282"/>
      <c r="E8" s="283">
        <f>'BP'!C7/'BP'!C86</f>
        <v>1.1204305489821844</v>
      </c>
      <c r="F8" s="283"/>
      <c r="G8" s="283">
        <f>'BP'!D7/'BP'!D86</f>
        <v>1.0267137060077582</v>
      </c>
    </row>
    <row r="9" spans="2:7" ht="14.25">
      <c r="B9" s="282"/>
      <c r="C9" s="282"/>
      <c r="D9" s="282"/>
      <c r="E9" s="283"/>
      <c r="F9" s="283"/>
      <c r="G9" s="283"/>
    </row>
    <row r="10" spans="2:7" ht="14.25">
      <c r="B10" s="282"/>
      <c r="C10" s="282" t="s">
        <v>354</v>
      </c>
      <c r="D10" s="282"/>
      <c r="E10" s="284">
        <f>SUM('BP'!C7+'BP'!C40)/('BP'!C86+'BP'!C107)</f>
        <v>0.9709733144960238</v>
      </c>
      <c r="F10" s="282"/>
      <c r="G10" s="284">
        <f>SUM('BP'!D7+'BP'!D40)/('BP'!D86+'BP'!D107)</f>
        <v>0.8682286001880181</v>
      </c>
    </row>
    <row r="11" spans="2:7" ht="14.25">
      <c r="B11" s="282"/>
      <c r="C11" s="282"/>
      <c r="D11" s="282"/>
      <c r="E11" s="282"/>
      <c r="F11" s="282"/>
      <c r="G11" s="282"/>
    </row>
    <row r="12" spans="2:7" ht="14.25">
      <c r="B12" s="282"/>
      <c r="C12" s="282" t="s">
        <v>355</v>
      </c>
      <c r="D12" s="282"/>
      <c r="E12" s="287">
        <f>SUM('BP'!C50+'BP'!C55)/'BP'!C124</f>
        <v>1.0749935327925138</v>
      </c>
      <c r="F12" s="282"/>
      <c r="G12" s="287">
        <f>SUM('BP'!D50+'BP'!D55)/'BP'!D124</f>
        <v>1.4706042911001245</v>
      </c>
    </row>
    <row r="13" spans="2:7" ht="14.25">
      <c r="B13" s="282"/>
      <c r="C13" s="282"/>
      <c r="D13" s="282"/>
      <c r="E13" s="282"/>
      <c r="F13" s="282"/>
      <c r="G13" s="282"/>
    </row>
    <row r="14" spans="2:7" ht="14.25">
      <c r="B14" s="282"/>
      <c r="C14" s="282" t="s">
        <v>356</v>
      </c>
      <c r="D14" s="282"/>
      <c r="E14" s="287">
        <f>SUM('BP'!C86+'BP'!C107)/'BP'!C71</f>
        <v>0.736025938562619</v>
      </c>
      <c r="F14" s="282"/>
      <c r="G14" s="287">
        <f>SUM('BP'!D86+'BP'!D107)/'BP'!D71</f>
        <v>0.7844468750571916</v>
      </c>
    </row>
    <row r="15" spans="2:7" ht="14.25">
      <c r="B15" s="282"/>
      <c r="C15" s="282"/>
      <c r="D15" s="282"/>
      <c r="E15" s="282"/>
      <c r="F15" s="282"/>
      <c r="G15" s="282"/>
    </row>
    <row r="16" spans="2:7" ht="14.25">
      <c r="B16" s="282"/>
      <c r="C16" s="282" t="s">
        <v>357</v>
      </c>
      <c r="D16" s="282"/>
      <c r="E16" s="287">
        <f>'BP'!C124/('BP'!C86+'BP'!C107)</f>
        <v>0.35864776987736946</v>
      </c>
      <c r="F16" s="282"/>
      <c r="G16" s="287">
        <f>'BP'!D124/('BP'!D86+'BP'!D107)</f>
        <v>0.27478358547491555</v>
      </c>
    </row>
    <row r="17" spans="2:7" ht="14.25">
      <c r="B17" s="282"/>
      <c r="C17" s="282"/>
      <c r="D17" s="282"/>
      <c r="E17" s="285"/>
      <c r="F17" s="282"/>
      <c r="G17" s="285"/>
    </row>
    <row r="18" spans="2:7" ht="14.25">
      <c r="B18" s="282"/>
      <c r="C18" s="282" t="s">
        <v>358</v>
      </c>
      <c r="D18" s="282"/>
      <c r="E18" s="287">
        <f>'BP'!C71/('BP'!C86+'BP'!C107)</f>
        <v>1.3586477698773693</v>
      </c>
      <c r="F18" s="282"/>
      <c r="G18" s="287">
        <f>'BP'!D71/('BP'!D86+'BP'!D107)</f>
        <v>1.2747835854749159</v>
      </c>
    </row>
    <row r="19" spans="2:7" ht="14.25">
      <c r="B19" s="282"/>
      <c r="C19" s="282"/>
      <c r="D19" s="282"/>
      <c r="E19" s="282"/>
      <c r="F19" s="282"/>
      <c r="G19" s="282"/>
    </row>
    <row r="20" spans="2:7" ht="14.25">
      <c r="B20" s="282"/>
      <c r="C20" s="282"/>
      <c r="D20" s="282"/>
      <c r="E20" s="282"/>
      <c r="F20" s="282"/>
      <c r="G20" s="282"/>
    </row>
    <row r="21" spans="2:7" ht="14.25">
      <c r="B21" s="281" t="s">
        <v>359</v>
      </c>
      <c r="C21" s="281"/>
      <c r="D21" s="281"/>
      <c r="E21" s="281">
        <v>2017</v>
      </c>
      <c r="F21" s="281"/>
      <c r="G21" s="281">
        <v>2016</v>
      </c>
    </row>
    <row r="22" spans="2:7" ht="14.25">
      <c r="B22" s="282"/>
      <c r="C22" s="282"/>
      <c r="D22" s="282"/>
      <c r="E22" s="282"/>
      <c r="F22" s="282"/>
      <c r="G22" s="282"/>
    </row>
    <row r="23" spans="2:7" ht="14.25">
      <c r="B23" s="282"/>
      <c r="C23" s="282" t="s">
        <v>360</v>
      </c>
      <c r="D23" s="282"/>
      <c r="E23" s="286">
        <f>DRE!D29/DRE!D21</f>
        <v>0.17646747958582856</v>
      </c>
      <c r="F23" s="282"/>
      <c r="G23" s="286">
        <f>DRE!F29/DRE!F21</f>
        <v>0.14848042265074277</v>
      </c>
    </row>
    <row r="24" spans="2:7" ht="14.25">
      <c r="B24" s="282"/>
      <c r="C24" s="282"/>
      <c r="D24" s="282"/>
      <c r="E24" s="282"/>
      <c r="F24" s="282"/>
      <c r="G24" s="282"/>
    </row>
    <row r="25" spans="2:7" ht="14.25">
      <c r="B25" s="282"/>
      <c r="C25" s="282" t="s">
        <v>361</v>
      </c>
      <c r="D25" s="282"/>
      <c r="E25" s="286">
        <f>-DRE!D30/DRE!D21</f>
        <v>0.1346938171175465</v>
      </c>
      <c r="F25" s="282"/>
      <c r="G25" s="286">
        <f>-DRE!F30/DRE!F21</f>
        <v>0.1159560052298125</v>
      </c>
    </row>
    <row r="26" spans="2:7" ht="14.25">
      <c r="B26" s="282"/>
      <c r="C26" s="282"/>
      <c r="D26" s="282"/>
      <c r="E26" s="282"/>
      <c r="F26" s="282"/>
      <c r="G26" s="282"/>
    </row>
    <row r="27" spans="2:7" ht="14.25">
      <c r="B27" s="282"/>
      <c r="C27" s="282" t="s">
        <v>362</v>
      </c>
      <c r="D27" s="282"/>
      <c r="E27" s="286">
        <f>DRE!D36/DRE!D21</f>
        <v>0.05325225344796483</v>
      </c>
      <c r="F27" s="282"/>
      <c r="G27" s="286">
        <f>DRE!F36/DRE!F21</f>
        <v>0.0484262462886811</v>
      </c>
    </row>
    <row r="28" spans="2:7" ht="14.25">
      <c r="B28" s="282"/>
      <c r="C28" s="282"/>
      <c r="D28" s="282"/>
      <c r="E28" s="282"/>
      <c r="F28" s="282"/>
      <c r="G28" s="282"/>
    </row>
    <row r="29" spans="2:7" ht="14.25">
      <c r="B29" s="282"/>
      <c r="C29" s="282" t="s">
        <v>363</v>
      </c>
      <c r="D29" s="282"/>
      <c r="E29" s="286">
        <f>DRE!D37/DRE!D21</f>
        <v>-0.01283954760443144</v>
      </c>
      <c r="F29" s="282"/>
      <c r="G29" s="286">
        <f>DRE!F37/DRE!F21</f>
        <v>-0.025675835112302328</v>
      </c>
    </row>
    <row r="30" spans="2:7" ht="14.25">
      <c r="B30" s="282"/>
      <c r="C30" s="282"/>
      <c r="D30" s="282"/>
      <c r="E30" s="282"/>
      <c r="F30" s="282"/>
      <c r="G30" s="282"/>
    </row>
    <row r="31" spans="2:7" ht="14.25">
      <c r="B31" s="282"/>
      <c r="C31" s="282" t="s">
        <v>364</v>
      </c>
      <c r="D31" s="282"/>
      <c r="E31" s="286">
        <f>DRE!D47/DRE!D21</f>
        <v>0.039586419520942905</v>
      </c>
      <c r="F31" s="282"/>
      <c r="G31" s="286">
        <f>DRE!F47/DRE!F21</f>
        <v>0.017161605195527774</v>
      </c>
    </row>
    <row r="33" spans="3:7" ht="14.25">
      <c r="C33" s="282" t="s">
        <v>365</v>
      </c>
      <c r="E33" s="286">
        <f>'DRE AT'!D22/'DRE AT'!E22</f>
        <v>0.1497042476381347</v>
      </c>
      <c r="G33" s="286">
        <v>0.1057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Devair Antonio Mem</cp:lastModifiedBy>
  <cp:lastPrinted>2018-11-05T09:34:33Z</cp:lastPrinted>
  <dcterms:created xsi:type="dcterms:W3CDTF">2006-02-21T13:41:38Z</dcterms:created>
  <dcterms:modified xsi:type="dcterms:W3CDTF">2018-12-04T17:03:49Z</dcterms:modified>
  <cp:category/>
  <cp:version/>
  <cp:contentType/>
  <cp:contentStatus/>
</cp:coreProperties>
</file>