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Claudio\Documents\Doc Luis\Part Luis\Estudos\GBA - Gestão do Ativo\Aula\"/>
    </mc:Choice>
  </mc:AlternateContent>
  <bookViews>
    <workbookView xWindow="0" yWindow="0" windowWidth="20490" windowHeight="7755" activeTab="5"/>
  </bookViews>
  <sheets>
    <sheet name="Impairment" sheetId="2" r:id="rId1"/>
    <sheet name="Arrrendamento financeiro" sheetId="1" r:id="rId2"/>
    <sheet name="Balanço " sheetId="4" r:id="rId3"/>
    <sheet name="VPL" sheetId="3" r:id="rId4"/>
    <sheet name="Exerc 1" sheetId="6" r:id="rId5"/>
    <sheet name="Plan3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MatMult_A" localSheetId="2" hidden="1">'[1]Painel de Controle'!#REF!</definedName>
    <definedName name="_MatMult_A" localSheetId="4" hidden="1">'[1]Painel de Controle'!#REF!</definedName>
    <definedName name="_MatMult_A" hidden="1">'[1]Painel de Controle'!#REF!</definedName>
    <definedName name="_Order1" hidden="1">255</definedName>
    <definedName name="_Order2" hidden="1">255</definedName>
    <definedName name="acq" localSheetId="2">'[2]Opco BS'!#REF!</definedName>
    <definedName name="acq" localSheetId="4">'[2]Opco BS'!#REF!</definedName>
    <definedName name="acq">'[2]Opco BS'!#REF!</definedName>
    <definedName name="area">'[3]VICTEL ($R)'!$N$10</definedName>
    <definedName name="bndes" localSheetId="2">#REF!</definedName>
    <definedName name="bndes" localSheetId="4">#REF!</definedName>
    <definedName name="bndes">#REF!</definedName>
    <definedName name="case5">'[4]Quarterly Amort. - 5'!$J$4</definedName>
    <definedName name="conv_vol" localSheetId="4">#REF!</definedName>
    <definedName name="conv_vol">#REF!</definedName>
    <definedName name="DDAmt" localSheetId="4">#REF!</definedName>
    <definedName name="DDAmt">#REF!</definedName>
    <definedName name="DebtAss" localSheetId="2">#REF!</definedName>
    <definedName name="DebtAss" localSheetId="4">#REF!</definedName>
    <definedName name="DebtAss">#REF!</definedName>
    <definedName name="Diff" localSheetId="4">#REF!</definedName>
    <definedName name="Diff">#REF!</definedName>
    <definedName name="EIXOX" localSheetId="4">OFFSET(#REF!,,,(COUNTA(#REF!)),)</definedName>
    <definedName name="EIXOX">OFFSET(#REF!,,,(COUNTA(#REF!)),)</definedName>
    <definedName name="empresa" localSheetId="4">#REF!</definedName>
    <definedName name="empresa">#REF!</definedName>
    <definedName name="FINANCIAMENTO" localSheetId="4">#REF!</definedName>
    <definedName name="FINANCIAMENTO">#REF!</definedName>
    <definedName name="FLUXO2" localSheetId="4">#REF!</definedName>
    <definedName name="FLUXO2">#REF!</definedName>
    <definedName name="Fluxo3">[5]FCF!$A$1:$AC$40</definedName>
    <definedName name="FORMULA" localSheetId="2">#REF!</definedName>
    <definedName name="FORMULA" localSheetId="4">#REF!</definedName>
    <definedName name="FORMULA">#REF!</definedName>
    <definedName name="FUND1" localSheetId="2">#REF!</definedName>
    <definedName name="FUND1" localSheetId="4">#REF!</definedName>
    <definedName name="FUND1">#REF!</definedName>
    <definedName name="FUND2" localSheetId="2">#REF!</definedName>
    <definedName name="FUND2" localSheetId="4">#REF!</definedName>
    <definedName name="FUND2">#REF!</definedName>
    <definedName name="hedge5">'[4]Quarterly Amort. - 5'!$J$5</definedName>
    <definedName name="index00" localSheetId="4">#REF!</definedName>
    <definedName name="index00">#REF!</definedName>
    <definedName name="index01" localSheetId="4">#REF!</definedName>
    <definedName name="index01">#REF!</definedName>
    <definedName name="index02" localSheetId="4">#REF!</definedName>
    <definedName name="index02">#REF!</definedName>
    <definedName name="index03" localSheetId="4">#REF!</definedName>
    <definedName name="index03">#REF!</definedName>
    <definedName name="index04" localSheetId="4">#REF!</definedName>
    <definedName name="index04">#REF!</definedName>
    <definedName name="index05" localSheetId="4">#REF!</definedName>
    <definedName name="index05">#REF!</definedName>
    <definedName name="index06" localSheetId="4">#REF!</definedName>
    <definedName name="index06">#REF!</definedName>
    <definedName name="index07" localSheetId="4">#REF!</definedName>
    <definedName name="index07">#REF!</definedName>
    <definedName name="index08" localSheetId="4">#REF!</definedName>
    <definedName name="index08">#REF!</definedName>
    <definedName name="index97" localSheetId="4">#REF!</definedName>
    <definedName name="index97">#REF!</definedName>
    <definedName name="index98" localSheetId="4">#REF!</definedName>
    <definedName name="index98">#REF!</definedName>
    <definedName name="index99" localSheetId="4">#REF!</definedName>
    <definedName name="index99">#REF!</definedName>
    <definedName name="Issue">'[4]Quarterly Amort. - 7'!$J$7</definedName>
    <definedName name="LHCDebt" localSheetId="2">#REF!</definedName>
    <definedName name="LHCDebt" localSheetId="4">#REF!</definedName>
    <definedName name="LHCDebt">#REF!</definedName>
    <definedName name="LHCLoan4" localSheetId="2">#REF!</definedName>
    <definedName name="LHCLoan4" localSheetId="4">#REF!</definedName>
    <definedName name="LHCLoan4">#REF!</definedName>
    <definedName name="MAXIMO" localSheetId="4">OFFSET(#REF!,,,(COUNTA(#REF!)),)</definedName>
    <definedName name="MAXIMO">OFFSET(#REF!,,,(COUNTA(#REF!)),)</definedName>
    <definedName name="MEDIA" localSheetId="4">OFFSET(#REF!,,,(COUNTA(#REF!)),)</definedName>
    <definedName name="MEDIA">OFFSET(#REF!,,,(COUNTA(#REF!)),)</definedName>
    <definedName name="MENORVALOR" localSheetId="4">OFFSET(#REF!,,,(COUNTA(#REF!)),)</definedName>
    <definedName name="MENORVALOR">OFFSET(#REF!,,,(COUNTA(#REF!)),)</definedName>
    <definedName name="Monthly" localSheetId="4">#REF!</definedName>
    <definedName name="Monthly">#REF!</definedName>
    <definedName name="norm">'[6]Amortization Schedule'!$D$324:$E$335</definedName>
    <definedName name="opçãoIR" localSheetId="2">'[7]CS e IR'!#REF!</definedName>
    <definedName name="opçãoIR" localSheetId="4">'[7]CS e IR'!#REF!</definedName>
    <definedName name="opçãoIR">'[7]CS e IR'!#REF!</definedName>
    <definedName name="output1">[8]CF!$A$1:$AC$64</definedName>
    <definedName name="Passos" localSheetId="4">#REF!</definedName>
    <definedName name="Passos">#REF!</definedName>
    <definedName name="PONTE" localSheetId="2">#REF!</definedName>
    <definedName name="PONTE" localSheetId="4">#REF!</definedName>
    <definedName name="PONTE">#REF!</definedName>
    <definedName name="REALIZADO" localSheetId="4">OFFSET(#REF!,,,(COUNTA(#REF!)),)</definedName>
    <definedName name="REALIZADO">OFFSET(#REF!,,,(COUNTA(#REF!)),)</definedName>
    <definedName name="SENSIB01" localSheetId="2">#REF!</definedName>
    <definedName name="SENSIB01" localSheetId="4">#REF!</definedName>
    <definedName name="SENSIB01">#REF!</definedName>
    <definedName name="SENSIB02" localSheetId="2">#REF!</definedName>
    <definedName name="SENSIB02" localSheetId="4">#REF!</definedName>
    <definedName name="SENSIB02">#REF!</definedName>
    <definedName name="SENSIB03" localSheetId="2">#REF!</definedName>
    <definedName name="SENSIB03" localSheetId="4">#REF!</definedName>
    <definedName name="SENSIB03">#REF!</definedName>
    <definedName name="SENSIBILIDADE" localSheetId="2">#REF!</definedName>
    <definedName name="SENSIBILIDADE" localSheetId="4">#REF!</definedName>
    <definedName name="SENSIBILIDADE">#REF!</definedName>
    <definedName name="Steps" localSheetId="4">#REF!</definedName>
    <definedName name="Step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F11" i="7"/>
  <c r="E11" i="7"/>
  <c r="D12" i="7"/>
  <c r="C12" i="7"/>
  <c r="D11" i="7"/>
  <c r="C11" i="7"/>
  <c r="F15" i="7"/>
  <c r="E15" i="7"/>
  <c r="D15" i="7"/>
  <c r="B9" i="7"/>
  <c r="F16" i="7" s="1"/>
  <c r="B8" i="7"/>
  <c r="B9" i="6"/>
  <c r="B8" i="6"/>
  <c r="C16" i="7" l="1"/>
  <c r="D16" i="7"/>
  <c r="E16" i="7"/>
  <c r="B17" i="7"/>
  <c r="G23" i="2"/>
  <c r="G22" i="2"/>
  <c r="G21" i="2"/>
  <c r="C22" i="2"/>
  <c r="C21" i="2"/>
  <c r="B23" i="2"/>
  <c r="B22" i="2"/>
  <c r="B21" i="2"/>
  <c r="A22" i="2"/>
  <c r="A21" i="2"/>
  <c r="C11" i="2"/>
  <c r="C14" i="2" s="1"/>
  <c r="C18" i="2" s="1"/>
  <c r="F9" i="2"/>
  <c r="F11" i="2" s="1"/>
  <c r="F14" i="2" s="1"/>
  <c r="F18" i="2" s="1"/>
  <c r="E9" i="2"/>
  <c r="E11" i="2" s="1"/>
  <c r="E14" i="2" s="1"/>
  <c r="E18" i="2" s="1"/>
  <c r="D9" i="2"/>
  <c r="D11" i="2" s="1"/>
  <c r="D14" i="2" s="1"/>
  <c r="D18" i="2" s="1"/>
  <c r="C9" i="2"/>
  <c r="B9" i="2"/>
  <c r="B11" i="2" s="1"/>
  <c r="G4" i="2"/>
  <c r="B4" i="2"/>
  <c r="C40" i="4"/>
  <c r="H5" i="4"/>
  <c r="G5" i="4"/>
  <c r="G10" i="4" s="1"/>
  <c r="F5" i="4"/>
  <c r="C4" i="3"/>
  <c r="C2" i="4"/>
  <c r="D2" i="4"/>
  <c r="E2" i="4"/>
  <c r="F2" i="4"/>
  <c r="G2" i="4"/>
  <c r="H2" i="4"/>
  <c r="J2" i="4"/>
  <c r="K2" i="4"/>
  <c r="L2" i="4"/>
  <c r="M2" i="4"/>
  <c r="N2" i="4"/>
  <c r="O2" i="4"/>
  <c r="L11" i="4"/>
  <c r="G39" i="4"/>
  <c r="C10" i="4"/>
  <c r="D10" i="4"/>
  <c r="E10" i="4"/>
  <c r="F10" i="4"/>
  <c r="H10" i="4"/>
  <c r="J11" i="4"/>
  <c r="K11" i="4"/>
  <c r="M11" i="4"/>
  <c r="O11" i="4"/>
  <c r="C16" i="4"/>
  <c r="D16" i="4"/>
  <c r="E16" i="4"/>
  <c r="F16" i="4"/>
  <c r="G16" i="4"/>
  <c r="H16" i="4"/>
  <c r="J17" i="4"/>
  <c r="K17" i="4"/>
  <c r="L17" i="4"/>
  <c r="M17" i="4"/>
  <c r="N17" i="4"/>
  <c r="O17" i="4"/>
  <c r="C21" i="4"/>
  <c r="D21" i="4"/>
  <c r="J22" i="4"/>
  <c r="K22" i="4"/>
  <c r="C29" i="4"/>
  <c r="D29" i="4"/>
  <c r="E29" i="4"/>
  <c r="E28" i="4" s="1"/>
  <c r="F29" i="4"/>
  <c r="F28" i="4" s="1"/>
  <c r="G29" i="4"/>
  <c r="H29" i="4"/>
  <c r="C30" i="4"/>
  <c r="D30" i="4"/>
  <c r="E30" i="4"/>
  <c r="F30" i="4"/>
  <c r="G30" i="4"/>
  <c r="H30" i="4"/>
  <c r="C33" i="4"/>
  <c r="C32" i="4" s="1"/>
  <c r="D33" i="4"/>
  <c r="D32" i="4" s="1"/>
  <c r="C34" i="4"/>
  <c r="D34" i="4"/>
  <c r="C39" i="4"/>
  <c r="D39" i="4"/>
  <c r="F39" i="4"/>
  <c r="F38" i="4" s="1"/>
  <c r="H39" i="4"/>
  <c r="D40" i="4"/>
  <c r="E40" i="4"/>
  <c r="F40" i="4"/>
  <c r="G40" i="4"/>
  <c r="H40" i="4"/>
  <c r="C43" i="4"/>
  <c r="D43" i="4"/>
  <c r="E43" i="4"/>
  <c r="F43" i="4"/>
  <c r="G43" i="4"/>
  <c r="H43" i="4"/>
  <c r="C44" i="4"/>
  <c r="D44" i="4"/>
  <c r="H14" i="3"/>
  <c r="G14" i="3"/>
  <c r="F14" i="3"/>
  <c r="E14" i="3"/>
  <c r="D14" i="3"/>
  <c r="C14" i="3"/>
  <c r="H5" i="3"/>
  <c r="G5" i="3"/>
  <c r="F5" i="3"/>
  <c r="E5" i="3"/>
  <c r="D5" i="3"/>
  <c r="C5" i="3"/>
  <c r="H4" i="3"/>
  <c r="G4" i="3"/>
  <c r="F4" i="3"/>
  <c r="E4" i="3"/>
  <c r="D4" i="3"/>
  <c r="F17" i="7" l="1"/>
  <c r="E17" i="7"/>
  <c r="D17" i="7"/>
  <c r="C17" i="7"/>
  <c r="G11" i="2"/>
  <c r="B14" i="2"/>
  <c r="J24" i="4"/>
  <c r="D38" i="4"/>
  <c r="G38" i="4"/>
  <c r="C38" i="4"/>
  <c r="C45" i="4" s="1"/>
  <c r="H38" i="4"/>
  <c r="K24" i="4"/>
  <c r="D42" i="4"/>
  <c r="C42" i="4"/>
  <c r="D35" i="4"/>
  <c r="H28" i="4"/>
  <c r="D28" i="4"/>
  <c r="D23" i="4" s="1"/>
  <c r="D25" i="4" s="1"/>
  <c r="C35" i="4"/>
  <c r="G28" i="4"/>
  <c r="C28" i="4"/>
  <c r="C23" i="4" s="1"/>
  <c r="E21" i="4"/>
  <c r="E23" i="4" s="1"/>
  <c r="E33" i="4"/>
  <c r="D45" i="4"/>
  <c r="L22" i="4"/>
  <c r="L24" i="4" s="1"/>
  <c r="E44" i="4"/>
  <c r="E42" i="4" s="1"/>
  <c r="E34" i="4"/>
  <c r="E39" i="4"/>
  <c r="E38" i="4" s="1"/>
  <c r="N11" i="4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3" i="1"/>
  <c r="C6" i="1"/>
  <c r="E7" i="1" s="1"/>
  <c r="F7" i="1" s="1"/>
  <c r="B7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43" i="1"/>
  <c r="G14" i="2" l="1"/>
  <c r="B18" i="2"/>
  <c r="G18" i="2" s="1"/>
  <c r="C25" i="4"/>
  <c r="D47" i="4"/>
  <c r="C47" i="4"/>
  <c r="C9" i="3"/>
  <c r="C11" i="3"/>
  <c r="E45" i="4"/>
  <c r="E11" i="3"/>
  <c r="E9" i="3"/>
  <c r="E7" i="3" s="1"/>
  <c r="E25" i="4"/>
  <c r="D11" i="3"/>
  <c r="D9" i="3"/>
  <c r="D7" i="3" s="1"/>
  <c r="F34" i="4"/>
  <c r="M22" i="4"/>
  <c r="M24" i="4" s="1"/>
  <c r="F44" i="4"/>
  <c r="F42" i="4" s="1"/>
  <c r="F21" i="4"/>
  <c r="F23" i="4" s="1"/>
  <c r="F33" i="4"/>
  <c r="F32" i="4" s="1"/>
  <c r="F35" i="4" s="1"/>
  <c r="E32" i="4"/>
  <c r="E35" i="4" s="1"/>
  <c r="E47" i="4" s="1"/>
  <c r="H7" i="1"/>
  <c r="H19" i="1"/>
  <c r="D43" i="1"/>
  <c r="E8" i="1"/>
  <c r="F8" i="1" s="1"/>
  <c r="B8" i="1" s="1"/>
  <c r="E3" i="3" l="1"/>
  <c r="E15" i="3"/>
  <c r="E17" i="3" s="1"/>
  <c r="F45" i="4"/>
  <c r="F47" i="4" s="1"/>
  <c r="F9" i="3"/>
  <c r="F11" i="3"/>
  <c r="C7" i="3"/>
  <c r="D15" i="3"/>
  <c r="D17" i="3" s="1"/>
  <c r="D3" i="3"/>
  <c r="F25" i="4"/>
  <c r="N22" i="4"/>
  <c r="N24" i="4" s="1"/>
  <c r="G44" i="4"/>
  <c r="G42" i="4" s="1"/>
  <c r="G21" i="4"/>
  <c r="G23" i="4" s="1"/>
  <c r="G33" i="4"/>
  <c r="G34" i="4"/>
  <c r="H34" i="4"/>
  <c r="E9" i="1"/>
  <c r="F9" i="1" s="1"/>
  <c r="B9" i="1" s="1"/>
  <c r="G45" i="4" l="1"/>
  <c r="G9" i="3"/>
  <c r="G7" i="3" s="1"/>
  <c r="G11" i="3"/>
  <c r="C15" i="3"/>
  <c r="C17" i="3" s="1"/>
  <c r="C3" i="3"/>
  <c r="F7" i="3"/>
  <c r="O22" i="4"/>
  <c r="O24" i="4" s="1"/>
  <c r="H44" i="4"/>
  <c r="H42" i="4" s="1"/>
  <c r="H21" i="4"/>
  <c r="H23" i="4" s="1"/>
  <c r="H25" i="4" s="1"/>
  <c r="H33" i="4"/>
  <c r="H32" i="4" s="1"/>
  <c r="H35" i="4" s="1"/>
  <c r="G32" i="4"/>
  <c r="G35" i="4" s="1"/>
  <c r="G47" i="4" s="1"/>
  <c r="G25" i="4"/>
  <c r="E10" i="1"/>
  <c r="F10" i="1" s="1"/>
  <c r="B10" i="1" s="1"/>
  <c r="E11" i="1" s="1"/>
  <c r="F11" i="1" s="1"/>
  <c r="H45" i="4" l="1"/>
  <c r="H11" i="3"/>
  <c r="H9" i="3"/>
  <c r="H7" i="3" s="1"/>
  <c r="H47" i="4"/>
  <c r="F3" i="3"/>
  <c r="F15" i="3"/>
  <c r="F17" i="3" s="1"/>
  <c r="G15" i="3"/>
  <c r="G17" i="3" s="1"/>
  <c r="G3" i="3"/>
  <c r="B11" i="1"/>
  <c r="H15" i="3" l="1"/>
  <c r="H17" i="3" s="1"/>
  <c r="C19" i="3" s="1"/>
  <c r="H3" i="3"/>
  <c r="E12" i="1"/>
  <c r="F12" i="1" l="1"/>
  <c r="B12" i="1" l="1"/>
  <c r="E13" i="1" l="1"/>
  <c r="F13" i="1" l="1"/>
  <c r="B13" i="1" l="1"/>
  <c r="E14" i="1" l="1"/>
  <c r="F14" i="1" l="1"/>
  <c r="B14" i="1" l="1"/>
  <c r="E15" i="1" l="1"/>
  <c r="F15" i="1" l="1"/>
  <c r="B15" i="1" l="1"/>
  <c r="E16" i="1" l="1"/>
  <c r="F16" i="1" s="1"/>
  <c r="B16" i="1" s="1"/>
  <c r="E17" i="1" l="1"/>
  <c r="F17" i="1" s="1"/>
  <c r="B17" i="1" s="1"/>
  <c r="E18" i="1" l="1"/>
  <c r="F18" i="1" s="1"/>
  <c r="B18" i="1" s="1"/>
  <c r="E19" i="1" l="1"/>
  <c r="F19" i="1" s="1"/>
  <c r="B19" i="1" s="1"/>
  <c r="E20" i="1" l="1"/>
  <c r="F20" i="1" s="1"/>
  <c r="B20" i="1" s="1"/>
  <c r="E21" i="1" l="1"/>
  <c r="F21" i="1" s="1"/>
  <c r="B21" i="1" s="1"/>
  <c r="E22" i="1" l="1"/>
  <c r="F22" i="1" s="1"/>
  <c r="B22" i="1" s="1"/>
  <c r="E23" i="1" l="1"/>
  <c r="F23" i="1" s="1"/>
  <c r="B23" i="1" s="1"/>
  <c r="E24" i="1" l="1"/>
  <c r="F24" i="1" s="1"/>
  <c r="B24" i="1" s="1"/>
  <c r="E25" i="1" l="1"/>
  <c r="F25" i="1" s="1"/>
  <c r="B25" i="1" s="1"/>
  <c r="E26" i="1" l="1"/>
  <c r="F26" i="1" s="1"/>
  <c r="B26" i="1" s="1"/>
  <c r="E27" i="1" l="1"/>
  <c r="F27" i="1" s="1"/>
  <c r="B27" i="1" s="1"/>
  <c r="E28" i="1" l="1"/>
  <c r="F28" i="1" s="1"/>
  <c r="B28" i="1" s="1"/>
  <c r="E29" i="1" l="1"/>
  <c r="F29" i="1" s="1"/>
  <c r="B29" i="1" s="1"/>
  <c r="E30" i="1" l="1"/>
  <c r="F30" i="1" s="1"/>
  <c r="B30" i="1" s="1"/>
  <c r="E31" i="1" l="1"/>
  <c r="F31" i="1" s="1"/>
  <c r="B31" i="1" s="1"/>
  <c r="E32" i="1" l="1"/>
  <c r="F32" i="1" s="1"/>
  <c r="B32" i="1" s="1"/>
  <c r="E33" i="1" l="1"/>
  <c r="F33" i="1" s="1"/>
  <c r="B33" i="1" s="1"/>
  <c r="E34" i="1" l="1"/>
  <c r="F34" i="1" s="1"/>
  <c r="B34" i="1" s="1"/>
  <c r="E35" i="1" l="1"/>
  <c r="F35" i="1" s="1"/>
  <c r="B35" i="1" s="1"/>
  <c r="E36" i="1" l="1"/>
  <c r="F36" i="1" s="1"/>
  <c r="B36" i="1" s="1"/>
  <c r="E37" i="1" l="1"/>
  <c r="F37" i="1" s="1"/>
  <c r="B37" i="1" s="1"/>
  <c r="E38" i="1" l="1"/>
  <c r="F38" i="1" s="1"/>
  <c r="B38" i="1" s="1"/>
  <c r="E39" i="1" l="1"/>
  <c r="F39" i="1" s="1"/>
  <c r="B39" i="1" s="1"/>
  <c r="E40" i="1" l="1"/>
  <c r="F40" i="1" s="1"/>
  <c r="B40" i="1" s="1"/>
  <c r="E41" i="1" l="1"/>
  <c r="F41" i="1" s="1"/>
  <c r="B41" i="1"/>
  <c r="E42" i="1" l="1"/>
  <c r="F42" i="1" l="1"/>
  <c r="B42" i="1" s="1"/>
  <c r="E43" i="1"/>
  <c r="F43" i="1" l="1"/>
  <c r="G43" i="1"/>
  <c r="I18" i="1"/>
  <c r="I42" i="1" l="1"/>
  <c r="H43" i="1"/>
</calcChain>
</file>

<file path=xl/sharedStrings.xml><?xml version="1.0" encoding="utf-8"?>
<sst xmlns="http://schemas.openxmlformats.org/spreadsheetml/2006/main" count="153" uniqueCount="120">
  <si>
    <t>Data</t>
  </si>
  <si>
    <t>A</t>
  </si>
  <si>
    <t>Na contratação</t>
  </si>
  <si>
    <t>B</t>
  </si>
  <si>
    <t>Pagto mensal</t>
  </si>
  <si>
    <t>Despesas de juros</t>
  </si>
  <si>
    <t>Redução da dívida</t>
  </si>
  <si>
    <t>Somatorio</t>
  </si>
  <si>
    <t>C</t>
  </si>
  <si>
    <t>D</t>
  </si>
  <si>
    <t>E</t>
  </si>
  <si>
    <t>Divida Leasing</t>
  </si>
  <si>
    <t>VPL</t>
  </si>
  <si>
    <t>Taxa Cont.</t>
  </si>
  <si>
    <t>Vr. Justo</t>
  </si>
  <si>
    <t>Contabilização</t>
  </si>
  <si>
    <t>Vr. Residual</t>
  </si>
  <si>
    <t>VP</t>
  </si>
  <si>
    <t>Juros</t>
  </si>
  <si>
    <t>Depreciação Vr. Residual</t>
  </si>
  <si>
    <t>ATUAL</t>
  </si>
  <si>
    <t>ANO 1</t>
  </si>
  <si>
    <t>ANO 2</t>
  </si>
  <si>
    <t>ANO 3</t>
  </si>
  <si>
    <t>ANO 4</t>
  </si>
  <si>
    <t>ANO 5</t>
  </si>
  <si>
    <t>EVA = NOPLAT - AE x WACC</t>
  </si>
  <si>
    <t>NOPLAT</t>
  </si>
  <si>
    <t>AE (Ativo Economico)</t>
  </si>
  <si>
    <t>WACC</t>
  </si>
  <si>
    <t>CCT (Custo de Capital de Terceiros)</t>
  </si>
  <si>
    <t>CT / CAPITAL</t>
  </si>
  <si>
    <t>CCP-(Custo do Capital Próprio)-SELIC+10%</t>
  </si>
  <si>
    <t>CP / CAPITAL</t>
  </si>
  <si>
    <t>FLUXO DE CAIXA</t>
  </si>
  <si>
    <t>Taxa de desconto</t>
  </si>
  <si>
    <t>VALOR PRESENTE NO ANO</t>
  </si>
  <si>
    <t>TOTA DO PASSIVO</t>
  </si>
  <si>
    <t>Resultado Acumulado</t>
  </si>
  <si>
    <t>Capital Social</t>
  </si>
  <si>
    <t>PASSIVO NÃO CIRCUL.</t>
  </si>
  <si>
    <t>Contas a pagar</t>
  </si>
  <si>
    <t>Empréstimo</t>
  </si>
  <si>
    <t>PASSIVO CIRCUL.</t>
  </si>
  <si>
    <t>TOTA DO ATIVO</t>
  </si>
  <si>
    <t>Depreciação</t>
  </si>
  <si>
    <t>Imobilizado</t>
  </si>
  <si>
    <t>ATIVO NÃO CIRCUL.</t>
  </si>
  <si>
    <t>Dupl a Receber</t>
  </si>
  <si>
    <t>Caixa</t>
  </si>
  <si>
    <t>ATIVO CIRCUL.</t>
  </si>
  <si>
    <t>TOTAL DO PASSIVO</t>
  </si>
  <si>
    <t>TOTAL DO ATIVO</t>
  </si>
  <si>
    <t>Resultado acumulado</t>
  </si>
  <si>
    <t>Ajuste de Avaliação Patrimonial</t>
  </si>
  <si>
    <t>PATRIMÔNIO LÍQUIDO</t>
  </si>
  <si>
    <t>PERMANENTE</t>
  </si>
  <si>
    <t>Outras contas a pagar</t>
  </si>
  <si>
    <t>Parcelamentos Fiscais</t>
  </si>
  <si>
    <t>Outros Valores a Receber</t>
  </si>
  <si>
    <t>Empréstimos</t>
  </si>
  <si>
    <t>Empresas Ligadas</t>
  </si>
  <si>
    <t>EXIGÍVEL A LONGO PRAZO</t>
  </si>
  <si>
    <t>Créditos Fiscais</t>
  </si>
  <si>
    <t>REALIZÁVEL A LONGO PRAZO</t>
  </si>
  <si>
    <t>Pis e Cofins a Pagar</t>
  </si>
  <si>
    <t>IR e CSLL a Pagar</t>
  </si>
  <si>
    <t>Outros Contas a Receber</t>
  </si>
  <si>
    <t>Honorários da Diretoria</t>
  </si>
  <si>
    <t>Comissão Venda Prod</t>
  </si>
  <si>
    <t>Estoques</t>
  </si>
  <si>
    <t>Duplicatas a Receber</t>
  </si>
  <si>
    <t>Fornecedores</t>
  </si>
  <si>
    <t>Disponibilidades</t>
  </si>
  <si>
    <t>CIRCULANTE</t>
  </si>
  <si>
    <t>PASSIVO</t>
  </si>
  <si>
    <t>ATIVO</t>
  </si>
  <si>
    <t>BALANÇO PATRIMONIAL</t>
  </si>
  <si>
    <t>VPL TOTAL</t>
  </si>
  <si>
    <t>Preço líquido de venda</t>
  </si>
  <si>
    <t>Valor de mercado</t>
  </si>
  <si>
    <t>(-) Despesa de venda</t>
  </si>
  <si>
    <t>(=) Preço de venda - Desp. Vanda</t>
  </si>
  <si>
    <t>Valor Contábil</t>
  </si>
  <si>
    <t>Valor do equipamento</t>
  </si>
  <si>
    <t>(-) Depreciação Acumulada</t>
  </si>
  <si>
    <t>(-) Custos/despesas variáveis</t>
  </si>
  <si>
    <t>(=) Margem de contribuição unit.</t>
  </si>
  <si>
    <t xml:space="preserve">(x) Volume de vendas </t>
  </si>
  <si>
    <t>(=) Margem de contribuição total</t>
  </si>
  <si>
    <t>(-) Custos e despesas fixas</t>
  </si>
  <si>
    <t>(+) Depreciação</t>
  </si>
  <si>
    <t xml:space="preserve">(=) EBITDA </t>
  </si>
  <si>
    <t>Taxa de desconto SELIC</t>
  </si>
  <si>
    <t>Valor em uso</t>
  </si>
  <si>
    <t>Valor em Uso</t>
  </si>
  <si>
    <t>Ano 1</t>
  </si>
  <si>
    <t>Ano 2</t>
  </si>
  <si>
    <t>Ano 3</t>
  </si>
  <si>
    <t>Ano 4</t>
  </si>
  <si>
    <t>Ano 5</t>
  </si>
  <si>
    <t>Total</t>
  </si>
  <si>
    <t>Valor recuperável</t>
  </si>
  <si>
    <t>(=) Dos dois o maior</t>
  </si>
  <si>
    <t>Impairment</t>
  </si>
  <si>
    <t>(=) Perda por desvalorização</t>
  </si>
  <si>
    <t>Vr. Contabil</t>
  </si>
  <si>
    <t>Aquisição</t>
  </si>
  <si>
    <t>Vida util contabil</t>
  </si>
  <si>
    <t>Vida util fiscal</t>
  </si>
  <si>
    <t>Adoção inicial</t>
  </si>
  <si>
    <t>Falta vida util contabil</t>
  </si>
  <si>
    <t>Vr. Fcont</t>
  </si>
  <si>
    <t>Falta vida util fiscal</t>
  </si>
  <si>
    <t>anos restante</t>
  </si>
  <si>
    <t>No Resultado</t>
  </si>
  <si>
    <t>Deprec Acumulada</t>
  </si>
  <si>
    <t>Deprec Lei 12973</t>
  </si>
  <si>
    <t>Saldo Parte B</t>
  </si>
  <si>
    <t>Parte B Adição (exclusão)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</si>
</sst>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3" formatCode="_-* #,##0.00_-;\-* #,##0.00_-;_-* &quot;-&quot;??_-;_-@_-"/>
    <numFmt numFmtId="164" formatCode="0.00000%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_(* #,##0.00_);_(* \(#,##0.00\);_(* &quot;-&quot;??_);_(@_)"/>
    <numFmt numFmtId="168" formatCode="_(* #,##0.0000_);_(* \(#,##0.0000\);_(* &quot;-&quot;??_);_(@_)"/>
    <numFmt numFmtId="169" formatCode="_(* #,##0.000_);_(* \(#,##0.000\);_(* &quot;-&quot;???_);_(@_)"/>
    <numFmt numFmtId="170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2"/>
      <color theme="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u/>
      <sz val="10"/>
      <name val="Calibri Light"/>
      <family val="2"/>
    </font>
    <font>
      <sz val="11"/>
      <name val="Calibri Light"/>
      <family val="2"/>
    </font>
    <font>
      <sz val="14"/>
      <name val="Calibri Light"/>
      <family val="2"/>
    </font>
    <font>
      <b/>
      <sz val="11"/>
      <name val="Calibri Light"/>
      <family val="2"/>
    </font>
    <font>
      <b/>
      <u val="singleAccounting"/>
      <sz val="14"/>
      <name val="Calibri Light"/>
      <family val="2"/>
    </font>
    <font>
      <b/>
      <sz val="14"/>
      <color theme="0"/>
      <name val="Calibri Light"/>
      <family val="2"/>
    </font>
    <font>
      <b/>
      <sz val="11"/>
      <color theme="0"/>
      <name val="Calibri Light"/>
      <family val="2"/>
    </font>
    <font>
      <sz val="10"/>
      <color indexed="10"/>
      <name val="Calibri Light"/>
      <family val="2"/>
    </font>
    <font>
      <sz val="10"/>
      <color indexed="8"/>
      <name val="Calibri Light"/>
      <family val="2"/>
    </font>
    <font>
      <b/>
      <sz val="1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Border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8" fontId="2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2" fillId="0" borderId="0" xfId="1" applyFont="1" applyBorder="1"/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43" fontId="0" fillId="0" borderId="0" xfId="1" applyFont="1" applyBorder="1"/>
    <xf numFmtId="43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43" fontId="0" fillId="0" borderId="7" xfId="0" applyNumberFormat="1" applyBorder="1"/>
    <xf numFmtId="43" fontId="0" fillId="0" borderId="7" xfId="1" applyFont="1" applyBorder="1"/>
    <xf numFmtId="43" fontId="0" fillId="0" borderId="8" xfId="1" applyFont="1" applyBorder="1"/>
    <xf numFmtId="0" fontId="2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2" xfId="0" applyFont="1" applyBorder="1"/>
    <xf numFmtId="43" fontId="0" fillId="0" borderId="0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0" fillId="0" borderId="4" xfId="0" applyBorder="1"/>
    <xf numFmtId="9" fontId="0" fillId="0" borderId="5" xfId="0" applyNumberFormat="1" applyBorder="1"/>
    <xf numFmtId="43" fontId="0" fillId="0" borderId="4" xfId="1" applyFont="1" applyBorder="1"/>
    <xf numFmtId="43" fontId="0" fillId="0" borderId="5" xfId="1" applyFont="1" applyBorder="1"/>
    <xf numFmtId="43" fontId="2" fillId="0" borderId="0" xfId="0" applyNumberFormat="1" applyFont="1" applyBorder="1"/>
    <xf numFmtId="43" fontId="0" fillId="2" borderId="0" xfId="1" applyFont="1" applyFill="1" applyBorder="1"/>
    <xf numFmtId="43" fontId="0" fillId="0" borderId="6" xfId="0" applyNumberFormat="1" applyBorder="1"/>
    <xf numFmtId="0" fontId="4" fillId="0" borderId="0" xfId="2" applyFont="1"/>
    <xf numFmtId="0" fontId="5" fillId="3" borderId="9" xfId="3" applyFont="1" applyFill="1" applyBorder="1" applyAlignment="1"/>
    <xf numFmtId="17" fontId="5" fillId="3" borderId="12" xfId="3" applyNumberFormat="1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165" fontId="4" fillId="0" borderId="0" xfId="4" applyFont="1"/>
    <xf numFmtId="166" fontId="4" fillId="0" borderId="0" xfId="2" applyNumberFormat="1" applyFont="1"/>
    <xf numFmtId="10" fontId="4" fillId="0" borderId="0" xfId="2" applyNumberFormat="1" applyFont="1"/>
    <xf numFmtId="10" fontId="4" fillId="0" borderId="0" xfId="5" applyNumberFormat="1" applyFont="1"/>
    <xf numFmtId="0" fontId="7" fillId="5" borderId="0" xfId="2" applyFont="1" applyFill="1"/>
    <xf numFmtId="167" fontId="8" fillId="5" borderId="0" xfId="6" applyFont="1" applyFill="1"/>
    <xf numFmtId="10" fontId="9" fillId="0" borderId="0" xfId="5" applyNumberFormat="1" applyFont="1"/>
    <xf numFmtId="0" fontId="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66" fontId="11" fillId="3" borderId="13" xfId="6" applyNumberFormat="1" applyFont="1" applyFill="1" applyBorder="1" applyAlignment="1">
      <alignment vertical="center"/>
    </xf>
    <xf numFmtId="166" fontId="11" fillId="3" borderId="14" xfId="6" applyNumberFormat="1" applyFont="1" applyFill="1" applyBorder="1" applyAlignment="1">
      <alignment vertical="center"/>
    </xf>
    <xf numFmtId="0" fontId="12" fillId="3" borderId="6" xfId="3" applyFont="1" applyFill="1" applyBorder="1" applyAlignment="1">
      <alignment vertical="center"/>
    </xf>
    <xf numFmtId="166" fontId="11" fillId="0" borderId="5" xfId="6" applyNumberFormat="1" applyFont="1" applyBorder="1" applyAlignment="1">
      <alignment vertical="center"/>
    </xf>
    <xf numFmtId="166" fontId="11" fillId="0" borderId="0" xfId="6" applyNumberFormat="1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166" fontId="13" fillId="3" borderId="5" xfId="6" applyNumberFormat="1" applyFont="1" applyFill="1" applyBorder="1" applyAlignment="1">
      <alignment vertical="center"/>
    </xf>
    <xf numFmtId="166" fontId="13" fillId="3" borderId="0" xfId="6" applyNumberFormat="1" applyFont="1" applyFill="1" applyBorder="1" applyAlignment="1">
      <alignment vertical="center"/>
    </xf>
    <xf numFmtId="0" fontId="12" fillId="3" borderId="4" xfId="3" applyFont="1" applyFill="1" applyBorder="1" applyAlignment="1">
      <alignment vertical="center"/>
    </xf>
    <xf numFmtId="167" fontId="10" fillId="0" borderId="0" xfId="6" applyFont="1" applyAlignment="1">
      <alignment vertical="center"/>
    </xf>
    <xf numFmtId="168" fontId="10" fillId="0" borderId="0" xfId="6" applyNumberFormat="1" applyFont="1" applyAlignment="1">
      <alignment vertical="center"/>
    </xf>
    <xf numFmtId="166" fontId="14" fillId="4" borderId="3" xfId="6" applyNumberFormat="1" applyFont="1" applyFill="1" applyBorder="1" applyAlignment="1">
      <alignment horizontal="center" vertical="center"/>
    </xf>
    <xf numFmtId="166" fontId="14" fillId="4" borderId="2" xfId="6" applyNumberFormat="1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vertical="center"/>
    </xf>
    <xf numFmtId="166" fontId="11" fillId="0" borderId="8" xfId="6" applyNumberFormat="1" applyFont="1" applyBorder="1" applyAlignment="1">
      <alignment vertical="center"/>
    </xf>
    <xf numFmtId="166" fontId="11" fillId="0" borderId="7" xfId="6" applyNumberFormat="1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166" fontId="11" fillId="3" borderId="15" xfId="6" applyNumberFormat="1" applyFont="1" applyFill="1" applyBorder="1" applyAlignment="1">
      <alignment vertical="center"/>
    </xf>
    <xf numFmtId="166" fontId="11" fillId="3" borderId="16" xfId="6" applyNumberFormat="1" applyFont="1" applyFill="1" applyBorder="1" applyAlignment="1">
      <alignment vertical="center"/>
    </xf>
    <xf numFmtId="37" fontId="10" fillId="0" borderId="0" xfId="3" applyNumberFormat="1" applyFont="1" applyAlignment="1">
      <alignment vertical="center"/>
    </xf>
    <xf numFmtId="169" fontId="10" fillId="0" borderId="0" xfId="3" applyNumberFormat="1" applyFont="1" applyAlignment="1">
      <alignment vertical="center"/>
    </xf>
    <xf numFmtId="0" fontId="15" fillId="4" borderId="3" xfId="3" applyFont="1" applyFill="1" applyBorder="1" applyAlignment="1">
      <alignment horizontal="center" vertical="center"/>
    </xf>
    <xf numFmtId="0" fontId="15" fillId="4" borderId="2" xfId="3" applyFont="1" applyFill="1" applyBorder="1" applyAlignment="1">
      <alignment horizontal="center" vertical="center"/>
    </xf>
    <xf numFmtId="37" fontId="10" fillId="0" borderId="0" xfId="3" applyNumberFormat="1" applyFont="1" applyAlignment="1" applyProtection="1">
      <alignment vertical="center"/>
    </xf>
    <xf numFmtId="0" fontId="10" fillId="0" borderId="0" xfId="3" applyFont="1" applyAlignment="1" applyProtection="1">
      <alignment vertical="center"/>
    </xf>
    <xf numFmtId="165" fontId="10" fillId="0" borderId="0" xfId="4" applyFont="1" applyAlignment="1">
      <alignment vertical="center"/>
    </xf>
    <xf numFmtId="37" fontId="4" fillId="0" borderId="0" xfId="3" applyNumberFormat="1" applyFont="1" applyAlignment="1" applyProtection="1">
      <alignment vertical="center"/>
    </xf>
    <xf numFmtId="165" fontId="4" fillId="0" borderId="0" xfId="4" applyFont="1" applyAlignment="1">
      <alignment vertical="center"/>
    </xf>
    <xf numFmtId="165" fontId="4" fillId="0" borderId="0" xfId="4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165" fontId="4" fillId="0" borderId="17" xfId="4" applyFont="1" applyBorder="1" applyAlignment="1" applyProtection="1">
      <alignment vertical="center"/>
    </xf>
    <xf numFmtId="165" fontId="16" fillId="0" borderId="18" xfId="4" applyFont="1" applyBorder="1" applyAlignment="1" applyProtection="1">
      <alignment vertical="center"/>
    </xf>
    <xf numFmtId="165" fontId="4" fillId="0" borderId="0" xfId="4" applyFont="1" applyFill="1" applyAlignment="1" applyProtection="1">
      <alignment vertical="center"/>
    </xf>
    <xf numFmtId="165" fontId="4" fillId="0" borderId="18" xfId="4" applyFont="1" applyFill="1" applyBorder="1" applyAlignment="1" applyProtection="1">
      <alignment vertical="center"/>
    </xf>
    <xf numFmtId="165" fontId="17" fillId="0" borderId="18" xfId="4" applyFont="1" applyFill="1" applyBorder="1" applyAlignment="1" applyProtection="1">
      <alignment vertical="center"/>
    </xf>
    <xf numFmtId="165" fontId="4" fillId="0" borderId="0" xfId="4" applyFont="1" applyBorder="1" applyAlignment="1" applyProtection="1">
      <alignment vertical="center"/>
    </xf>
    <xf numFmtId="165" fontId="17" fillId="0" borderId="0" xfId="4" applyFont="1" applyFill="1" applyAlignment="1" applyProtection="1">
      <alignment vertical="center"/>
    </xf>
    <xf numFmtId="165" fontId="12" fillId="0" borderId="0" xfId="4" applyFont="1" applyBorder="1" applyAlignment="1" applyProtection="1">
      <alignment horizontal="center" vertical="center"/>
    </xf>
    <xf numFmtId="165" fontId="12" fillId="0" borderId="19" xfId="4" applyFont="1" applyBorder="1" applyAlignment="1" applyProtection="1">
      <alignment horizontal="center" vertical="center"/>
    </xf>
    <xf numFmtId="165" fontId="12" fillId="0" borderId="0" xfId="4" applyFont="1" applyAlignment="1" applyProtection="1">
      <alignment horizontal="center" vertical="center"/>
    </xf>
    <xf numFmtId="17" fontId="15" fillId="4" borderId="18" xfId="3" applyNumberFormat="1" applyFont="1" applyFill="1" applyBorder="1" applyAlignment="1" applyProtection="1">
      <alignment horizontal="center" vertical="center"/>
    </xf>
    <xf numFmtId="17" fontId="12" fillId="3" borderId="18" xfId="3" applyNumberFormat="1" applyFont="1" applyFill="1" applyBorder="1" applyAlignment="1" applyProtection="1">
      <alignment horizontal="center" vertical="center"/>
    </xf>
    <xf numFmtId="0" fontId="10" fillId="3" borderId="18" xfId="3" applyFont="1" applyFill="1" applyBorder="1" applyAlignment="1" applyProtection="1">
      <alignment horizontal="center" vertical="center"/>
    </xf>
    <xf numFmtId="0" fontId="10" fillId="3" borderId="18" xfId="3" applyFont="1" applyFill="1" applyBorder="1" applyAlignment="1" applyProtection="1">
      <alignment vertical="center"/>
    </xf>
    <xf numFmtId="43" fontId="10" fillId="0" borderId="0" xfId="1" applyFont="1" applyAlignment="1">
      <alignment vertical="center"/>
    </xf>
    <xf numFmtId="165" fontId="4" fillId="0" borderId="0" xfId="4" quotePrefix="1" applyFont="1" applyFill="1" applyAlignment="1" applyProtection="1">
      <alignment vertical="center"/>
    </xf>
    <xf numFmtId="165" fontId="17" fillId="0" borderId="18" xfId="4" quotePrefix="1" applyFont="1" applyFill="1" applyBorder="1" applyAlignment="1" applyProtection="1">
      <alignment vertical="center"/>
    </xf>
    <xf numFmtId="170" fontId="0" fillId="0" borderId="0" xfId="0" applyNumberFormat="1"/>
    <xf numFmtId="0" fontId="0" fillId="0" borderId="1" xfId="0" applyBorder="1"/>
    <xf numFmtId="0" fontId="0" fillId="0" borderId="3" xfId="0" applyBorder="1"/>
    <xf numFmtId="170" fontId="0" fillId="0" borderId="5" xfId="1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170" fontId="2" fillId="6" borderId="8" xfId="0" applyNumberFormat="1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0" borderId="4" xfId="0" applyFont="1" applyBorder="1"/>
    <xf numFmtId="0" fontId="2" fillId="0" borderId="5" xfId="0" applyFont="1" applyBorder="1"/>
    <xf numFmtId="170" fontId="0" fillId="0" borderId="0" xfId="1" applyNumberFormat="1" applyFont="1" applyBorder="1"/>
    <xf numFmtId="170" fontId="2" fillId="0" borderId="0" xfId="0" applyNumberFormat="1" applyFont="1" applyBorder="1"/>
    <xf numFmtId="170" fontId="2" fillId="0" borderId="5" xfId="0" applyNumberFormat="1" applyFont="1" applyBorder="1"/>
    <xf numFmtId="43" fontId="0" fillId="0" borderId="2" xfId="1" applyFont="1" applyBorder="1"/>
    <xf numFmtId="0" fontId="2" fillId="0" borderId="9" xfId="0" applyFont="1" applyBorder="1"/>
    <xf numFmtId="43" fontId="2" fillId="0" borderId="10" xfId="1" applyFont="1" applyBorder="1"/>
    <xf numFmtId="170" fontId="2" fillId="6" borderId="11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8" fillId="0" borderId="0" xfId="3" applyFont="1" applyAlignment="1">
      <alignment horizontal="center" vertical="center"/>
    </xf>
    <xf numFmtId="0" fontId="0" fillId="0" borderId="0" xfId="0" applyFill="1" applyBorder="1"/>
    <xf numFmtId="17" fontId="0" fillId="0" borderId="0" xfId="0" applyNumberFormat="1" applyBorder="1"/>
    <xf numFmtId="170" fontId="0" fillId="0" borderId="0" xfId="0" applyNumberFormat="1" applyBorder="1"/>
  </cellXfs>
  <cellStyles count="7">
    <cellStyle name="Moeda 2" xfId="4"/>
    <cellStyle name="Normal" xfId="0" builtinId="0"/>
    <cellStyle name="Normal 2" xfId="2"/>
    <cellStyle name="Normal 3" xfId="3"/>
    <cellStyle name="Porcentagem 2" xfId="5"/>
    <cellStyle name="Vírgula" xfId="1" builtinId="3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519642" cy="633942"/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19642" cy="633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952500</xdr:colOff>
      <xdr:row>0</xdr:row>
      <xdr:rowOff>76200</xdr:rowOff>
    </xdr:from>
    <xdr:ext cx="1114425" cy="5143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76200"/>
          <a:ext cx="1114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285750</xdr:colOff>
      <xdr:row>1</xdr:row>
      <xdr:rowOff>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514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142875</xdr:rowOff>
    </xdr:from>
    <xdr:to>
      <xdr:col>7</xdr:col>
      <xdr:colOff>1000125</xdr:colOff>
      <xdr:row>0</xdr:row>
      <xdr:rowOff>504825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42875"/>
          <a:ext cx="781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etas/Petrolina/PETROLINA/valuation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E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Claudio/AppData/Local/Microsoft/Windows/Temporary%20Internet%20Files/Content.Outlook/6I5ADYXZ/TrabalhoFinal_FinancasCorporativas_Planilha%20(0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CyMacK/Ita/Gerasul/Valuation/Model/lending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VIC30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CyMacK/Ita/SENAmort1205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Saneamento/2000%2010%2009%20Sanepar%20Nom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Puerto%20Rico/AESmodel11_16_98%20-%20headsup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evisao%20Business%20Plan%20Opportrans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PETROLINA/ago%202003/Petrolina%20valu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Claudio/AppData/Local/Microsoft/Windows/Temporary%20Internet%20Files/Content.Outlook/6I5ADYXZ/TrabalhoFinal_FinancasCorporativas_Planil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1"/>
      <sheetName val="1"/>
      <sheetName val="Resultados"/>
      <sheetName val="Painel de Controle"/>
      <sheetName val="SPE"/>
      <sheetName val="Valuation"/>
      <sheetName val="IS"/>
      <sheetName val="BS"/>
      <sheetName val="CF"/>
      <sheetName val="Funding"/>
      <sheetName val="Premissas Funding"/>
      <sheetName val="Balanço Prévio"/>
      <sheetName val="Entrada de Dados"/>
      <sheetName val="Sensib"/>
      <sheetName val="2"/>
      <sheetName val="Receitas"/>
      <sheetName val="Capex Estimado"/>
      <sheetName val="Capex Orçado"/>
      <sheetName val="Opex"/>
      <sheetName val="3"/>
      <sheetName val="Debt"/>
      <sheetName val="Auxiliar"/>
      <sheetName val="Resultados velho"/>
      <sheetName val="4"/>
      <sheetName val="Indicadores"/>
      <sheetName val="Rec Opex Capex"/>
      <sheetName val="Rec Totais (a)"/>
      <sheetName val="Rec Totais (b)"/>
      <sheetName val="Balanço"/>
      <sheetName val="Resultado"/>
      <sheetName val="Fluxos Acumulados"/>
      <sheetName val="Cap Dív"/>
      <sheetName val="DSCR - LTDE"/>
      <sheetName val="Rentabilidade"/>
      <sheetName val="Módulo2"/>
      <sheetName val="Módul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alanço"/>
      <sheetName val="DRE"/>
      <sheetName val="Viabilidade"/>
      <sheetName val="VPL"/>
      <sheetName val="Fluxo"/>
      <sheetName val="Payback"/>
      <sheetName val="TIR_TIRM"/>
      <sheetName val="Ke"/>
      <sheetName val="EVA"/>
      <sheetName val="Depr"/>
      <sheetName val="Honorario"/>
      <sheetName val="Ajuda"/>
      <sheetName val="Sensibilidade"/>
      <sheetName val="Tabelas"/>
      <sheetName val="Financiamento 1"/>
      <sheetName val="Financiamento 2"/>
      <sheetName val="Encargos"/>
    </sheetNames>
    <sheetDataSet>
      <sheetData sheetId="0" refreshError="1"/>
      <sheetData sheetId="1"/>
      <sheetData sheetId="2">
        <row r="67">
          <cell r="H67">
            <v>-3998.1014750000031</v>
          </cell>
          <cell r="I67">
            <v>940.25067135999166</v>
          </cell>
          <cell r="J67">
            <v>18917.065437399979</v>
          </cell>
          <cell r="K67">
            <v>19988.203230231946</v>
          </cell>
          <cell r="L67">
            <v>31182.68745512635</v>
          </cell>
        </row>
        <row r="73">
          <cell r="G73">
            <v>37476.165899999985</v>
          </cell>
          <cell r="H73">
            <v>22857.572849999997</v>
          </cell>
          <cell r="I73">
            <v>26126.248304999986</v>
          </cell>
          <cell r="J73">
            <v>39747.069845999969</v>
          </cell>
          <cell r="K73">
            <v>41290.426483199932</v>
          </cell>
          <cell r="L73">
            <v>46313.181914639936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Opco IS"/>
      <sheetName val="Opco BS"/>
      <sheetName val="Opco CF"/>
      <sheetName val="Combined"/>
      <sheetName val="SPV"/>
      <sheetName val="Credit Ratios"/>
      <sheetName val="DCF"/>
      <sheetName val="DCF per Plant"/>
      <sheetName val="IRR"/>
      <sheetName val="Assump."/>
      <sheetName val="Endesa Inputs"/>
      <sheetName val="Fixed Cost (Endesa)"/>
      <sheetName val="Macro &amp; Tax"/>
      <sheetName val="Debt"/>
      <sheetName val="Cost"/>
      <sheetName val="Depreciation"/>
      <sheetName val="__FDSCACHE__"/>
      <sheetName val="WACC"/>
      <sheetName val="IPP WACC"/>
      <sheetName val="Adjustment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VICTEL ($R)"/>
      <sheetName val="VICTEL ($US)"/>
      <sheetName val="Combined"/>
      <sheetName val="Combined ($US)"/>
    </sheetNames>
    <sheetDataSet>
      <sheetData sheetId="0" refreshError="1"/>
      <sheetData sheetId="1" refreshError="1">
        <row r="10">
          <cell r="N10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year annualized"/>
      <sheetName val="Quarterly Amort. - 7 (2)"/>
      <sheetName val="Bunker Prices"/>
      <sheetName val="Quarterly Amort. - 7"/>
      <sheetName val="5 year annualized"/>
      <sheetName val="Quarterly Amort. - 5"/>
      <sheetName val="Hedge"/>
    </sheetNames>
    <sheetDataSet>
      <sheetData sheetId="0" refreshError="1"/>
      <sheetData sheetId="1" refreshError="1"/>
      <sheetData sheetId="2" refreshError="1"/>
      <sheetData sheetId="3" refreshError="1">
        <row r="7">
          <cell r="J7">
            <v>0</v>
          </cell>
        </row>
      </sheetData>
      <sheetData sheetId="4" refreshError="1"/>
      <sheetData sheetId="5" refreshError="1">
        <row r="4">
          <cell r="J4" t="str">
            <v>base</v>
          </cell>
        </row>
        <row r="5">
          <cell r="J5">
            <v>0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sultados"/>
      <sheetName val="Painel de Controle"/>
      <sheetName val="Premissas Funding"/>
      <sheetName val="Balanço Prévio"/>
      <sheetName val="BS Financ"/>
      <sheetName val="CF Financ"/>
      <sheetName val="DRE Financ"/>
      <sheetName val="Auxiliar"/>
      <sheetName val="Valuation FCF"/>
      <sheetName val="Valuation ECF"/>
      <sheetName val="Valuation EVA"/>
      <sheetName val="Valuation DDM"/>
      <sheetName val="Valuation EBITDA"/>
      <sheetName val="Rentabilidade"/>
      <sheetName val="Endiv. Existente"/>
      <sheetName val="Funding"/>
      <sheetName val="DSCR - LTDE"/>
      <sheetName val="Impostos Diferidos"/>
      <sheetName val="Aux 1"/>
      <sheetName val="Entrada de Dados"/>
      <sheetName val="Equalized assumptions"/>
      <sheetName val="Sensib"/>
      <sheetName val="2"/>
      <sheetName val="Receitas"/>
      <sheetName val="Opex Futuro"/>
      <sheetName val="Capex Orçado"/>
      <sheetName val="3"/>
      <sheetName val="IncSt"/>
      <sheetName val="FCF"/>
      <sheetName val="4"/>
      <sheetName val="5"/>
      <sheetName val="Indicadores"/>
      <sheetName val="Rec Opex Capex"/>
      <sheetName val="Rec Totais (a)"/>
      <sheetName val="Rec Totais (b)"/>
      <sheetName val="Balanço"/>
      <sheetName val="Resultado"/>
      <sheetName val="Fluxos Acumulados"/>
      <sheetName val="Cap Dív"/>
      <sheetName val="Módulo2"/>
      <sheetName val="Módul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2">
          <cell r="A2" t="str">
            <v>Fluxo de Caixa - Projeto</v>
          </cell>
          <cell r="E2" t="str">
            <v>Valuation SANEPAR</v>
          </cell>
          <cell r="S2">
            <v>37075</v>
          </cell>
          <cell r="T2" t="str">
            <v>Valuation SANEPAR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13</v>
          </cell>
          <cell r="R3">
            <v>14</v>
          </cell>
          <cell r="S3">
            <v>15</v>
          </cell>
          <cell r="T3">
            <v>15</v>
          </cell>
          <cell r="U3">
            <v>15</v>
          </cell>
          <cell r="V3">
            <v>15</v>
          </cell>
          <cell r="W3">
            <v>15</v>
          </cell>
          <cell r="X3">
            <v>15</v>
          </cell>
          <cell r="Y3">
            <v>15</v>
          </cell>
          <cell r="Z3">
            <v>15</v>
          </cell>
          <cell r="AA3">
            <v>15</v>
          </cell>
          <cell r="AB3">
            <v>15</v>
          </cell>
          <cell r="AC3">
            <v>15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</row>
        <row r="5">
          <cell r="A5" t="str">
            <v xml:space="preserve">Fluxo de Caixa  </v>
          </cell>
          <cell r="B5" t="str">
            <v>R$1.000</v>
          </cell>
          <cell r="C5" t="str">
            <v>Total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  <cell r="L5">
            <v>2005</v>
          </cell>
          <cell r="M5">
            <v>2006</v>
          </cell>
          <cell r="N5">
            <v>2007</v>
          </cell>
          <cell r="O5">
            <v>2008</v>
          </cell>
          <cell r="P5">
            <v>2009</v>
          </cell>
          <cell r="Q5">
            <v>2010</v>
          </cell>
          <cell r="R5">
            <v>2011</v>
          </cell>
          <cell r="S5">
            <v>2012</v>
          </cell>
          <cell r="T5">
            <v>2013</v>
          </cell>
          <cell r="U5">
            <v>2014</v>
          </cell>
          <cell r="V5">
            <v>2015</v>
          </cell>
          <cell r="W5">
            <v>2016</v>
          </cell>
          <cell r="X5">
            <v>2017</v>
          </cell>
          <cell r="Y5">
            <v>2018</v>
          </cell>
          <cell r="Z5">
            <v>2019</v>
          </cell>
          <cell r="AA5">
            <v>2020</v>
          </cell>
          <cell r="AB5">
            <v>2021</v>
          </cell>
          <cell r="AC5">
            <v>2022</v>
          </cell>
        </row>
        <row r="7">
          <cell r="A7" t="str">
            <v>1. EBITDA</v>
          </cell>
          <cell r="C7">
            <v>8979858.8371958844</v>
          </cell>
          <cell r="E7">
            <v>113330.51474259997</v>
          </cell>
          <cell r="F7">
            <v>275890.75265000004</v>
          </cell>
          <cell r="G7">
            <v>337827.80570937716</v>
          </cell>
          <cell r="H7">
            <v>384853.86323987145</v>
          </cell>
          <cell r="I7">
            <v>412230.79597443173</v>
          </cell>
          <cell r="J7">
            <v>461784.86455981404</v>
          </cell>
          <cell r="K7">
            <v>516212.2266932599</v>
          </cell>
          <cell r="L7">
            <v>585966.69932487467</v>
          </cell>
          <cell r="M7">
            <v>677177.08703598566</v>
          </cell>
          <cell r="N7">
            <v>737714.79454782838</v>
          </cell>
          <cell r="O7">
            <v>793907.48154718883</v>
          </cell>
          <cell r="P7">
            <v>852226.12815879681</v>
          </cell>
          <cell r="Q7">
            <v>883538.61846648133</v>
          </cell>
          <cell r="R7">
            <v>941994.47032054327</v>
          </cell>
          <cell r="S7">
            <v>1005202.7342248303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 xml:space="preserve">Receita </v>
          </cell>
          <cell r="C8">
            <v>16036744.22174819</v>
          </cell>
          <cell r="E8">
            <v>530382.14</v>
          </cell>
          <cell r="F8">
            <v>595373.9</v>
          </cell>
          <cell r="G8">
            <v>688800.00029714289</v>
          </cell>
          <cell r="H8">
            <v>758593.99820957554</v>
          </cell>
          <cell r="I8">
            <v>818284.67649687664</v>
          </cell>
          <cell r="J8">
            <v>891389.31589153898</v>
          </cell>
          <cell r="K8">
            <v>965168.26792183181</v>
          </cell>
          <cell r="L8">
            <v>1059976.6885954712</v>
          </cell>
          <cell r="M8">
            <v>1158784.5370412495</v>
          </cell>
          <cell r="N8">
            <v>1243877.9565323635</v>
          </cell>
          <cell r="O8">
            <v>1324736.1356238129</v>
          </cell>
          <cell r="P8">
            <v>1409417.4602254906</v>
          </cell>
          <cell r="Q8">
            <v>1461973.7007230052</v>
          </cell>
          <cell r="R8">
            <v>1529832.3640610236</v>
          </cell>
          <cell r="S8">
            <v>1600153.0801288069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Imposto sobre Faturamento</v>
          </cell>
          <cell r="C9">
            <v>-585341.16409380885</v>
          </cell>
          <cell r="E9">
            <v>-19358.948110000001</v>
          </cell>
          <cell r="F9">
            <v>-21731.147349999999</v>
          </cell>
          <cell r="G9">
            <v>-25141.200010845714</v>
          </cell>
          <cell r="H9">
            <v>-27688.680934649507</v>
          </cell>
          <cell r="I9">
            <v>-29867.390692135996</v>
          </cell>
          <cell r="J9">
            <v>-32535.710030041173</v>
          </cell>
          <cell r="K9">
            <v>-35228.641779146856</v>
          </cell>
          <cell r="L9">
            <v>-38689.149133734696</v>
          </cell>
          <cell r="M9">
            <v>-42295.635602005605</v>
          </cell>
          <cell r="N9">
            <v>-45401.545413431268</v>
          </cell>
          <cell r="O9">
            <v>-48352.868950269178</v>
          </cell>
          <cell r="P9">
            <v>-51443.737298230408</v>
          </cell>
          <cell r="Q9">
            <v>-53362.040076389691</v>
          </cell>
          <cell r="R9">
            <v>-55838.881288227349</v>
          </cell>
          <cell r="S9">
            <v>-58405.587424701451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 t="str">
            <v>Custo Operacional</v>
          </cell>
          <cell r="C10">
            <v>-6471544.2204584964</v>
          </cell>
          <cell r="E10">
            <v>-397692.67714740004</v>
          </cell>
          <cell r="F10">
            <v>-297752</v>
          </cell>
          <cell r="G10">
            <v>-325830.99457692006</v>
          </cell>
          <cell r="H10">
            <v>-346051.45403505454</v>
          </cell>
          <cell r="I10">
            <v>-376186.48983030888</v>
          </cell>
          <cell r="J10">
            <v>-397068.74130168377</v>
          </cell>
          <cell r="K10">
            <v>-413727.39944942505</v>
          </cell>
          <cell r="L10">
            <v>-435320.84013686189</v>
          </cell>
          <cell r="M10">
            <v>-439311.81440325821</v>
          </cell>
          <cell r="N10">
            <v>-460761.61657110386</v>
          </cell>
          <cell r="O10">
            <v>-482475.78512635489</v>
          </cell>
          <cell r="P10">
            <v>-505747.5947684634</v>
          </cell>
          <cell r="Q10">
            <v>-525073.04218013422</v>
          </cell>
          <cell r="R10">
            <v>-531999.01245225291</v>
          </cell>
          <cell r="S10">
            <v>-536544.75847927504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4">
          <cell r="A14" t="str">
            <v>2. Investimentos</v>
          </cell>
          <cell r="C14">
            <v>-3407825.0914790151</v>
          </cell>
          <cell r="E14">
            <v>-212932</v>
          </cell>
          <cell r="F14">
            <v>-199716</v>
          </cell>
          <cell r="G14">
            <v>-267570.14</v>
          </cell>
          <cell r="H14">
            <v>-268111.37996847351</v>
          </cell>
          <cell r="I14">
            <v>-256986.11298781037</v>
          </cell>
          <cell r="J14">
            <v>-258784.61986585479</v>
          </cell>
          <cell r="K14">
            <v>-225369.81293726852</v>
          </cell>
          <cell r="L14">
            <v>-240381.42186731106</v>
          </cell>
          <cell r="M14">
            <v>-239378.84889512873</v>
          </cell>
          <cell r="N14">
            <v>-183683.92582778289</v>
          </cell>
          <cell r="O14">
            <v>-204637.16833621138</v>
          </cell>
          <cell r="P14">
            <v>-218391.7756141992</v>
          </cell>
          <cell r="Q14">
            <v>-197866.88945954017</v>
          </cell>
          <cell r="R14">
            <v>-212633.90892800543</v>
          </cell>
          <cell r="S14">
            <v>-221381.08679142914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A15" t="str">
            <v>sistema de água</v>
          </cell>
          <cell r="C15">
            <v>-767556.25229729398</v>
          </cell>
          <cell r="D15">
            <v>0</v>
          </cell>
          <cell r="E15">
            <v>-78632</v>
          </cell>
          <cell r="F15">
            <v>-76069</v>
          </cell>
          <cell r="G15">
            <v>-98284</v>
          </cell>
          <cell r="H15">
            <v>-71418.900000000009</v>
          </cell>
          <cell r="I15">
            <v>-68971.812000000005</v>
          </cell>
          <cell r="J15">
            <v>-81000.104640000005</v>
          </cell>
          <cell r="K15">
            <v>-32259.376531200003</v>
          </cell>
          <cell r="L15">
            <v>-22048.625289600001</v>
          </cell>
          <cell r="M15">
            <v>-17259.66387669888</v>
          </cell>
          <cell r="N15">
            <v>-17777.453792999848</v>
          </cell>
          <cell r="O15">
            <v>-18310.777406789843</v>
          </cell>
          <cell r="P15">
            <v>-18363.782288756865</v>
          </cell>
          <cell r="Q15">
            <v>-49484.933765357149</v>
          </cell>
          <cell r="R15">
            <v>-57516.325609567888</v>
          </cell>
          <cell r="S15">
            <v>-60159.497096323292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A16" t="str">
            <v>sistema de esgoto</v>
          </cell>
          <cell r="C16">
            <v>-1386018.7647619555</v>
          </cell>
          <cell r="D16">
            <v>0</v>
          </cell>
          <cell r="E16">
            <v>-114790</v>
          </cell>
          <cell r="F16">
            <v>-99337</v>
          </cell>
          <cell r="G16">
            <v>-96104</v>
          </cell>
          <cell r="H16">
            <v>-128692.2</v>
          </cell>
          <cell r="I16">
            <v>-111052.03200000001</v>
          </cell>
          <cell r="J16">
            <v>-98698.541760000007</v>
          </cell>
          <cell r="K16">
            <v>-106199.29931520001</v>
          </cell>
          <cell r="L16">
            <v>-121342.13935334401</v>
          </cell>
          <cell r="M16">
            <v>-126429.39577439807</v>
          </cell>
          <cell r="N16">
            <v>-69264.06860332728</v>
          </cell>
          <cell r="O16">
            <v>-84731.450413156505</v>
          </cell>
          <cell r="P16">
            <v>-93568.230536421775</v>
          </cell>
          <cell r="Q16">
            <v>-43251.548428906688</v>
          </cell>
          <cell r="R16">
            <v>-45239.644695868432</v>
          </cell>
          <cell r="S16">
            <v>-47319.213881332442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A17" t="str">
            <v>Investimento Operacional</v>
          </cell>
          <cell r="C17">
            <v>-525599.87950681534</v>
          </cell>
          <cell r="D17">
            <v>0</v>
          </cell>
          <cell r="E17">
            <v>-3518</v>
          </cell>
          <cell r="F17">
            <v>-8890</v>
          </cell>
          <cell r="G17">
            <v>-33450</v>
          </cell>
          <cell r="H17">
            <v>-28784.7</v>
          </cell>
          <cell r="I17">
            <v>-36582</v>
          </cell>
          <cell r="J17">
            <v>-38045.280000000006</v>
          </cell>
          <cell r="K17">
            <v>-39186.638400000003</v>
          </cell>
          <cell r="L17">
            <v>-42363.481628832007</v>
          </cell>
          <cell r="M17">
            <v>-38470.634180160007</v>
          </cell>
          <cell r="N17">
            <v>-39624.753205564797</v>
          </cell>
          <cell r="O17">
            <v>-40813.49580173174</v>
          </cell>
          <cell r="P17">
            <v>-42037.900675783698</v>
          </cell>
          <cell r="Q17">
            <v>-43299.037696057203</v>
          </cell>
          <cell r="R17">
            <v>-44598.008826938916</v>
          </cell>
          <cell r="S17">
            <v>-45935.94909174709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SAR</v>
          </cell>
          <cell r="C18">
            <v>-281795.03031635372</v>
          </cell>
          <cell r="D18">
            <v>0</v>
          </cell>
          <cell r="E18">
            <v>-15992</v>
          </cell>
          <cell r="F18">
            <v>-15420</v>
          </cell>
          <cell r="G18">
            <v>-12508</v>
          </cell>
          <cell r="H18">
            <v>-8902.9500000000007</v>
          </cell>
          <cell r="I18">
            <v>-9847.6560000000009</v>
          </cell>
          <cell r="J18">
            <v>-11178.498240000001</v>
          </cell>
          <cell r="K18">
            <v>-16763.6929824</v>
          </cell>
          <cell r="L18">
            <v>-22506.46559616</v>
          </cell>
          <cell r="M18">
            <v>-23712.802513370883</v>
          </cell>
          <cell r="N18">
            <v>-22055.648921355503</v>
          </cell>
          <cell r="O18">
            <v>-24385.405459344369</v>
          </cell>
          <cell r="P18">
            <v>-26502.862284113438</v>
          </cell>
          <cell r="Q18">
            <v>-22325.559294265509</v>
          </cell>
          <cell r="R18">
            <v>-24288.557553375362</v>
          </cell>
          <cell r="S18">
            <v>-25404.931471968674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(+/-) Sensibilidade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Serviços Internos Capitalizáveis (Transf. P/ Investimentos)</v>
          </cell>
          <cell r="C20">
            <v>-446855.16459659697</v>
          </cell>
          <cell r="D20">
            <v>0</v>
          </cell>
          <cell r="E20">
            <v>0</v>
          </cell>
          <cell r="F20">
            <v>0</v>
          </cell>
          <cell r="G20">
            <v>-27224.140000000003</v>
          </cell>
          <cell r="H20">
            <v>-30312.62996847351</v>
          </cell>
          <cell r="I20">
            <v>-30532.612987810375</v>
          </cell>
          <cell r="J20">
            <v>-29862.195225854743</v>
          </cell>
          <cell r="K20">
            <v>-30960.805708468488</v>
          </cell>
          <cell r="L20">
            <v>-32120.709999375053</v>
          </cell>
          <cell r="M20">
            <v>-33506.35255050088</v>
          </cell>
          <cell r="N20">
            <v>-34962.001304535479</v>
          </cell>
          <cell r="O20">
            <v>-36396.039255188953</v>
          </cell>
          <cell r="P20">
            <v>-37918.999829123401</v>
          </cell>
          <cell r="Q20">
            <v>-39505.810274953612</v>
          </cell>
          <cell r="R20">
            <v>-40991.372242254816</v>
          </cell>
          <cell r="S20">
            <v>-42561.495250057647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A22" t="str">
            <v>4. Outros Itens</v>
          </cell>
          <cell r="B22">
            <v>4453.117223570941</v>
          </cell>
          <cell r="C22">
            <v>142234.97661864251</v>
          </cell>
          <cell r="E22">
            <v>-1386</v>
          </cell>
          <cell r="F22">
            <v>-1912</v>
          </cell>
          <cell r="G22">
            <v>7726.0302998786401</v>
          </cell>
          <cell r="H22">
            <v>3605.1111501634596</v>
          </cell>
          <cell r="I22">
            <v>4100.8932265785334</v>
          </cell>
          <cell r="J22">
            <v>4916.0088934876248</v>
          </cell>
          <cell r="K22">
            <v>10006.745487538166</v>
          </cell>
          <cell r="L22">
            <v>15116.641931966253</v>
          </cell>
          <cell r="M22">
            <v>15607.606179608625</v>
          </cell>
          <cell r="N22">
            <v>13301.152656391147</v>
          </cell>
          <cell r="O22">
            <v>15069.876664182997</v>
          </cell>
          <cell r="P22">
            <v>16592.647855266441</v>
          </cell>
          <cell r="Q22">
            <v>11966.113250192726</v>
          </cell>
          <cell r="R22">
            <v>13452.924695699196</v>
          </cell>
          <cell r="S22">
            <v>14071.224327688689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Subvenção para Invest. (SAR)</v>
          </cell>
          <cell r="B23">
            <v>11343.596457541324</v>
          </cell>
          <cell r="C23">
            <v>250383.03031635378</v>
          </cell>
          <cell r="E23">
            <v>0</v>
          </cell>
          <cell r="F23">
            <v>0</v>
          </cell>
          <cell r="G23">
            <v>12508</v>
          </cell>
          <cell r="H23">
            <v>8902.9500000000007</v>
          </cell>
          <cell r="I23">
            <v>9847.6560000000009</v>
          </cell>
          <cell r="J23">
            <v>11178.498240000001</v>
          </cell>
          <cell r="K23">
            <v>16763.6929824</v>
          </cell>
          <cell r="L23">
            <v>22506.46559616</v>
          </cell>
          <cell r="M23">
            <v>23712.802513370883</v>
          </cell>
          <cell r="N23">
            <v>22055.648921355503</v>
          </cell>
          <cell r="O23">
            <v>24385.405459344369</v>
          </cell>
          <cell r="P23">
            <v>26502.862284113438</v>
          </cell>
          <cell r="Q23">
            <v>22325.559294265509</v>
          </cell>
          <cell r="R23">
            <v>24288.557553375362</v>
          </cell>
          <cell r="S23">
            <v>25404.931471968674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Resultado Não Operacional</v>
          </cell>
          <cell r="B24">
            <v>-6890.4792339703845</v>
          </cell>
          <cell r="C24">
            <v>-108148.05369771125</v>
          </cell>
          <cell r="E24">
            <v>-1386</v>
          </cell>
          <cell r="F24">
            <v>-1912</v>
          </cell>
          <cell r="G24">
            <v>-4781.9697001213599</v>
          </cell>
          <cell r="H24">
            <v>-5297.8388498365412</v>
          </cell>
          <cell r="I24">
            <v>-5746.7627734214675</v>
          </cell>
          <cell r="J24">
            <v>-6262.489346512376</v>
          </cell>
          <cell r="K24">
            <v>-6756.9474948618326</v>
          </cell>
          <cell r="L24">
            <v>-7389.8236641937474</v>
          </cell>
          <cell r="M24">
            <v>-8105.1963337622574</v>
          </cell>
          <cell r="N24">
            <v>-8754.4962649643567</v>
          </cell>
          <cell r="O24">
            <v>-9315.5287951613718</v>
          </cell>
          <cell r="P24">
            <v>-9910.2144288469954</v>
          </cell>
          <cell r="Q24">
            <v>-10359.446044072783</v>
          </cell>
          <cell r="R24">
            <v>-10835.632857676166</v>
          </cell>
          <cell r="S24">
            <v>-11333.707144279984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A26" t="str">
            <v>5. Endividamento Existente</v>
          </cell>
          <cell r="B26">
            <v>-22370.282696828162</v>
          </cell>
          <cell r="C26">
            <v>-1874499.8042086805</v>
          </cell>
          <cell r="E26">
            <v>39267</v>
          </cell>
          <cell r="F26">
            <v>-47661</v>
          </cell>
          <cell r="G26">
            <v>73980.228402365174</v>
          </cell>
          <cell r="H26">
            <v>-40043.363468350581</v>
          </cell>
          <cell r="I26">
            <v>-58282.009566790075</v>
          </cell>
          <cell r="J26">
            <v>-76888.875839465501</v>
          </cell>
          <cell r="K26">
            <v>-135548.59907583625</v>
          </cell>
          <cell r="L26">
            <v>-184983.78614825901</v>
          </cell>
          <cell r="M26">
            <v>-175382.18982427081</v>
          </cell>
          <cell r="N26">
            <v>-159727.63639009991</v>
          </cell>
          <cell r="O26">
            <v>-143244.92748631092</v>
          </cell>
          <cell r="P26">
            <v>-137604.96962951258</v>
          </cell>
          <cell r="Q26">
            <v>-137678.41817406056</v>
          </cell>
          <cell r="R26">
            <v>-138888.86916522571</v>
          </cell>
          <cell r="S26">
            <v>-130855.78565426765</v>
          </cell>
          <cell r="T26">
            <v>-95231.056575701179</v>
          </cell>
          <cell r="U26">
            <v>-57784.352416255104</v>
          </cell>
          <cell r="V26">
            <v>-32905.32559516425</v>
          </cell>
          <cell r="W26">
            <v>-29583.429577056741</v>
          </cell>
          <cell r="X26">
            <v>-30534.842375304164</v>
          </cell>
          <cell r="Y26">
            <v>-31547.611530495778</v>
          </cell>
          <cell r="Z26">
            <v>-31275.431436983512</v>
          </cell>
          <cell r="AA26">
            <v>-112094.55268163557</v>
          </cell>
          <cell r="AB26">
            <v>0</v>
          </cell>
          <cell r="AC26">
            <v>0</v>
          </cell>
        </row>
        <row r="27">
          <cell r="A27" t="str">
            <v xml:space="preserve">Desembolsos do Endividamento </v>
          </cell>
          <cell r="B27">
            <v>254762.72025660033</v>
          </cell>
          <cell r="C27">
            <v>798778.40817480523</v>
          </cell>
          <cell r="E27">
            <v>156618</v>
          </cell>
          <cell r="F27">
            <v>88815</v>
          </cell>
          <cell r="G27">
            <v>212791.63775652248</v>
          </cell>
          <cell r="H27">
            <v>130056.27862639843</v>
          </cell>
          <cell r="I27">
            <v>98955.788420291603</v>
          </cell>
          <cell r="J27">
            <v>88108.538621037384</v>
          </cell>
          <cell r="K27">
            <v>23433.164750555312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Pgto Principal Endivid. Existente</v>
          </cell>
          <cell r="B28">
            <v>-123154.38092391742</v>
          </cell>
          <cell r="C28">
            <v>-1669929.9209160628</v>
          </cell>
          <cell r="E28">
            <v>-39596</v>
          </cell>
          <cell r="F28">
            <v>-55102</v>
          </cell>
          <cell r="G28">
            <v>-70045.131115516851</v>
          </cell>
          <cell r="H28">
            <v>-94310.501047487385</v>
          </cell>
          <cell r="I28">
            <v>-77767.59242274084</v>
          </cell>
          <cell r="J28">
            <v>-81216.460055214658</v>
          </cell>
          <cell r="K28">
            <v>-72488.684400868748</v>
          </cell>
          <cell r="L28">
            <v>-102546.49475366664</v>
          </cell>
          <cell r="M28">
            <v>-103565.74123334553</v>
          </cell>
          <cell r="N28">
            <v>-94874.401191778932</v>
          </cell>
          <cell r="O28">
            <v>-84554.367286927183</v>
          </cell>
          <cell r="P28">
            <v>-84691.058035609865</v>
          </cell>
          <cell r="Q28">
            <v>-90858.232264202932</v>
          </cell>
          <cell r="R28">
            <v>-98980.03812017171</v>
          </cell>
          <cell r="S28">
            <v>-98376.616799935218</v>
          </cell>
          <cell r="T28">
            <v>-95231.056575701179</v>
          </cell>
          <cell r="U28">
            <v>-57784.352416255104</v>
          </cell>
          <cell r="V28">
            <v>-32905.32559516425</v>
          </cell>
          <cell r="W28">
            <v>-29583.429577056741</v>
          </cell>
          <cell r="X28">
            <v>-30534.842375304164</v>
          </cell>
          <cell r="Y28">
            <v>-31547.611530495778</v>
          </cell>
          <cell r="Z28">
            <v>-31275.431436983512</v>
          </cell>
          <cell r="AA28">
            <v>-112094.55268163557</v>
          </cell>
          <cell r="AB28">
            <v>0</v>
          </cell>
          <cell r="AC28">
            <v>0</v>
          </cell>
        </row>
        <row r="29">
          <cell r="A29" t="str">
            <v>Pgto Encargos Endivid. Existente</v>
          </cell>
          <cell r="B29">
            <v>-153978.62202951108</v>
          </cell>
          <cell r="C29">
            <v>-1003348.2914674231</v>
          </cell>
          <cell r="E29">
            <v>-77755</v>
          </cell>
          <cell r="F29">
            <v>-81374</v>
          </cell>
          <cell r="G29">
            <v>-68766.278238640458</v>
          </cell>
          <cell r="H29">
            <v>-75789.141047261626</v>
          </cell>
          <cell r="I29">
            <v>-79470.205564340838</v>
          </cell>
          <cell r="J29">
            <v>-83780.954405288227</v>
          </cell>
          <cell r="K29">
            <v>-86493.079425522825</v>
          </cell>
          <cell r="L29">
            <v>-82437.29139459235</v>
          </cell>
          <cell r="M29">
            <v>-71816.448590925283</v>
          </cell>
          <cell r="N29">
            <v>-64853.235198320981</v>
          </cell>
          <cell r="O29">
            <v>-58690.560199383741</v>
          </cell>
          <cell r="P29">
            <v>-52913.911593902718</v>
          </cell>
          <cell r="Q29">
            <v>-46820.185909857617</v>
          </cell>
          <cell r="R29">
            <v>-39908.831045054008</v>
          </cell>
          <cell r="S29">
            <v>-32479.168854332434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A31" t="str">
            <v>6. Necessidade de Capital de Giro</v>
          </cell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Capital de Giro</v>
          </cell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A34" t="str">
            <v>4. Imposto de Renda + Contribuição Social</v>
          </cell>
          <cell r="C34">
            <v>-2173140.9797932683</v>
          </cell>
          <cell r="E34">
            <v>-31287.574742600002</v>
          </cell>
          <cell r="F34">
            <v>-46030.615901000012</v>
          </cell>
          <cell r="G34">
            <v>-65665.022816302328</v>
          </cell>
          <cell r="H34">
            <v>-76326.951312564401</v>
          </cell>
          <cell r="I34">
            <v>-81609.654020013433</v>
          </cell>
          <cell r="J34">
            <v>-93749.590291075496</v>
          </cell>
          <cell r="K34">
            <v>-109017.52304716835</v>
          </cell>
          <cell r="L34">
            <v>-131681.90327181428</v>
          </cell>
          <cell r="M34">
            <v>-163619.63068045524</v>
          </cell>
          <cell r="N34">
            <v>-184475.60576791514</v>
          </cell>
          <cell r="O34">
            <v>-203841.48835687732</v>
          </cell>
          <cell r="P34">
            <v>-223204.0995039696</v>
          </cell>
          <cell r="Q34">
            <v>-233751.23191949353</v>
          </cell>
          <cell r="R34">
            <v>-253645.31281621702</v>
          </cell>
          <cell r="S34">
            <v>-275234.77534580213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Imposto de Renda + Contribuição Social</v>
          </cell>
          <cell r="C35">
            <v>-2173140.9797932683</v>
          </cell>
          <cell r="E35">
            <v>-31287.574742600002</v>
          </cell>
          <cell r="F35">
            <v>-46030.615901000012</v>
          </cell>
          <cell r="G35">
            <v>-65665.022816302328</v>
          </cell>
          <cell r="H35">
            <v>-76326.951312564401</v>
          </cell>
          <cell r="I35">
            <v>-81609.654020013433</v>
          </cell>
          <cell r="J35">
            <v>-93749.590291075496</v>
          </cell>
          <cell r="K35">
            <v>-109017.52304716835</v>
          </cell>
          <cell r="L35">
            <v>-131681.90327181428</v>
          </cell>
          <cell r="M35">
            <v>-163619.63068045524</v>
          </cell>
          <cell r="N35">
            <v>-184475.60576791514</v>
          </cell>
          <cell r="O35">
            <v>-203841.48835687732</v>
          </cell>
          <cell r="P35">
            <v>-223204.0995039696</v>
          </cell>
          <cell r="Q35">
            <v>-233751.23191949353</v>
          </cell>
          <cell r="R35">
            <v>-253645.31281621702</v>
          </cell>
          <cell r="S35">
            <v>-275234.77534580213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7">
          <cell r="A37" t="str">
            <v xml:space="preserve">Fluxo de Caixa </v>
          </cell>
          <cell r="C37">
            <v>1666627.9383335621</v>
          </cell>
          <cell r="D37">
            <v>7773</v>
          </cell>
          <cell r="E37">
            <v>-93008.060000000027</v>
          </cell>
          <cell r="F37">
            <v>-19428.863250999973</v>
          </cell>
          <cell r="G37">
            <v>86298.901595318617</v>
          </cell>
          <cell r="H37">
            <v>3977.2796406464186</v>
          </cell>
          <cell r="I37">
            <v>19453.912626396399</v>
          </cell>
          <cell r="J37">
            <v>37277.787456905877</v>
          </cell>
          <cell r="K37">
            <v>56283.037120524954</v>
          </cell>
          <cell r="L37">
            <v>44036.229969456559</v>
          </cell>
          <cell r="M37">
            <v>114404.02381573955</v>
          </cell>
          <cell r="N37">
            <v>223128.77921842167</v>
          </cell>
          <cell r="O37">
            <v>257253.77403197219</v>
          </cell>
          <cell r="P37">
            <v>289617.93126638187</v>
          </cell>
          <cell r="Q37">
            <v>326208.19216357986</v>
          </cell>
          <cell r="R37">
            <v>350279.30410679436</v>
          </cell>
          <cell r="S37">
            <v>391802.31076101999</v>
          </cell>
          <cell r="T37">
            <v>-95231.056575701179</v>
          </cell>
          <cell r="U37">
            <v>-57784.352416255104</v>
          </cell>
          <cell r="V37">
            <v>-32905.32559516425</v>
          </cell>
          <cell r="W37">
            <v>-29583.429577056741</v>
          </cell>
          <cell r="X37">
            <v>-30534.842375304164</v>
          </cell>
          <cell r="Y37">
            <v>-31547.611530495778</v>
          </cell>
          <cell r="Z37">
            <v>-31275.431436983512</v>
          </cell>
          <cell r="AA37">
            <v>-112094.55268163557</v>
          </cell>
          <cell r="AB37">
            <v>0</v>
          </cell>
          <cell r="AC37">
            <v>0</v>
          </cell>
        </row>
        <row r="38">
          <cell r="A38" t="str">
            <v>Fluxo de Caixa Acumulado</v>
          </cell>
          <cell r="D38">
            <v>7773</v>
          </cell>
          <cell r="E38">
            <v>-85235.060000000027</v>
          </cell>
          <cell r="F38">
            <v>-104663.923251</v>
          </cell>
          <cell r="G38">
            <v>-18365.021655681383</v>
          </cell>
          <cell r="H38">
            <v>-14387.742015034964</v>
          </cell>
          <cell r="I38">
            <v>5066.1706113614346</v>
          </cell>
          <cell r="J38">
            <v>42343.958068267311</v>
          </cell>
          <cell r="K38">
            <v>98626.995188792265</v>
          </cell>
          <cell r="L38">
            <v>142663.22515824882</v>
          </cell>
          <cell r="M38">
            <v>257067.24897398837</v>
          </cell>
          <cell r="N38">
            <v>480196.02819241001</v>
          </cell>
          <cell r="O38">
            <v>737449.80222438218</v>
          </cell>
          <cell r="P38">
            <v>1027067.733490764</v>
          </cell>
          <cell r="Q38">
            <v>1353275.9256543438</v>
          </cell>
          <cell r="R38">
            <v>1703555.2297611381</v>
          </cell>
          <cell r="S38">
            <v>2095357.5405221581</v>
          </cell>
          <cell r="T38">
            <v>2000126.483946457</v>
          </cell>
          <cell r="U38">
            <v>1942342.131530202</v>
          </cell>
          <cell r="V38">
            <v>1909436.8059350378</v>
          </cell>
          <cell r="W38">
            <v>1879853.376357981</v>
          </cell>
          <cell r="X38">
            <v>1849318.5339826769</v>
          </cell>
          <cell r="Y38">
            <v>1817770.9224521811</v>
          </cell>
          <cell r="Z38">
            <v>1786495.4910151977</v>
          </cell>
          <cell r="AA38">
            <v>1674400.9383335621</v>
          </cell>
          <cell r="AB38">
            <v>1674400.9383335621</v>
          </cell>
          <cell r="AC38">
            <v>1674400.9383335621</v>
          </cell>
        </row>
        <row r="39">
          <cell r="A39" t="str">
            <v>Check DRE vs. FCF</v>
          </cell>
          <cell r="D39" t="e">
            <v>#REF!</v>
          </cell>
        </row>
        <row r="40">
          <cell r="A40" t="str">
            <v>Taxa Interna de Retorno do Projeto</v>
          </cell>
          <cell r="C40">
            <v>0.42018653028564423</v>
          </cell>
        </row>
      </sheetData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Amorts"/>
      <sheetName val="Amortization Schedule"/>
      <sheetName val="New Drawdown"/>
      <sheetName val="Drawdown"/>
      <sheetName val="Drawdown with delayed delivery"/>
      <sheetName val="Cash Flows"/>
      <sheetName val="Log"/>
      <sheetName val="Draw"/>
      <sheetName val="Amortization Tabl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>
        <row r="324">
          <cell r="D324">
            <v>1</v>
          </cell>
          <cell r="E324">
            <v>31</v>
          </cell>
        </row>
        <row r="325">
          <cell r="D325">
            <v>2</v>
          </cell>
          <cell r="E325">
            <v>28</v>
          </cell>
        </row>
        <row r="326">
          <cell r="D326">
            <v>3</v>
          </cell>
          <cell r="E326">
            <v>31</v>
          </cell>
        </row>
        <row r="327">
          <cell r="D327">
            <v>4</v>
          </cell>
          <cell r="E327">
            <v>30</v>
          </cell>
        </row>
        <row r="328">
          <cell r="D328">
            <v>5</v>
          </cell>
          <cell r="E328">
            <v>31</v>
          </cell>
        </row>
        <row r="329">
          <cell r="D329">
            <v>6</v>
          </cell>
          <cell r="E329">
            <v>30</v>
          </cell>
        </row>
        <row r="330">
          <cell r="D330">
            <v>7</v>
          </cell>
          <cell r="E330">
            <v>31</v>
          </cell>
        </row>
        <row r="331">
          <cell r="D331">
            <v>8</v>
          </cell>
          <cell r="E331">
            <v>31</v>
          </cell>
        </row>
        <row r="332">
          <cell r="D332">
            <v>9</v>
          </cell>
          <cell r="E332">
            <v>30</v>
          </cell>
        </row>
        <row r="333">
          <cell r="D333">
            <v>10</v>
          </cell>
          <cell r="E333">
            <v>31</v>
          </cell>
        </row>
        <row r="334">
          <cell r="D334">
            <v>11</v>
          </cell>
          <cell r="E334">
            <v>30</v>
          </cell>
        </row>
        <row r="335">
          <cell r="D335">
            <v>12</v>
          </cell>
          <cell r="E33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Considerações Macroeconômicas"/>
      <sheetName val="Comparativo OrçxBP"/>
      <sheetName val="DRE CSP"/>
      <sheetName val="Analítico DRE CSP"/>
      <sheetName val="DRE"/>
      <sheetName val="Analítico"/>
      <sheetName val="DRE sem Aluguel"/>
      <sheetName val="DRE Op. Adaptada"/>
      <sheetName val="DRE Comercial"/>
      <sheetName val="Analítico Comercial"/>
      <sheetName val="Receita Operacional"/>
      <sheetName val="Receita Comercial"/>
      <sheetName val="Composição Receita Comercial"/>
      <sheetName val="Deduções de Receita"/>
      <sheetName val="Qtde Pessoal"/>
      <sheetName val=" Proventos "/>
      <sheetName val="Benefícios"/>
      <sheetName val="Encargos"/>
      <sheetName val="13º Sal + Férias"/>
      <sheetName val="ATS"/>
      <sheetName val="Técnicos Arg. + Pro Labore"/>
      <sheetName val="Resumo de Pes. antes Moviment."/>
      <sheetName val="Mov. Pessoal Operacional"/>
      <sheetName val="Pessoal Novos e Absorvidos"/>
      <sheetName val="Pessoal CSP,CAC,ADM"/>
      <sheetName val="Resumo Quadro Pessoal"/>
      <sheetName val="Manutenção"/>
      <sheetName val="Energia e Agua"/>
      <sheetName val="Con.Oper."/>
      <sheetName val="ContAdm."/>
      <sheetName val="Imp.taxas.contrib."/>
      <sheetName val="Gerais e Adm."/>
      <sheetName val="Depreciação"/>
      <sheetName val="Amortização"/>
      <sheetName val="Investimentos"/>
      <sheetName val="Detalhamento Investimentos "/>
      <sheetName val="Ressarcimento Estado"/>
      <sheetName val="Pagtº Concessão"/>
      <sheetName val="Desp.Rec.Financ."/>
      <sheetName val="Composição BNDES"/>
      <sheetName val="Juros BNDES"/>
      <sheetName val="CS e IR"/>
      <sheetName val="Custo com Operador"/>
      <sheetName val="Fluxo caixa Carioca "/>
      <sheetName val=" DRE Carioca "/>
      <sheetName val="Analítico Carioca"/>
      <sheetName val="Dados SC"/>
      <sheetName val="DRE SC dados acordados"/>
      <sheetName val="DRE Op+SC dados acordados"/>
      <sheetName val="CS e IR dados acordados"/>
      <sheetName val="DRE SC dados reais"/>
      <sheetName val="CS e IR dados reais "/>
      <sheetName val="DRE Linha 2A"/>
      <sheetName val="Dados Linha 2A"/>
      <sheetName val="Financ. Linha 2A"/>
      <sheetName val="CS IR Linha 2A"/>
      <sheetName val="DRE Op. + Linha 2A 23.000"/>
      <sheetName val="CS IR Op+Linha 2A 23.000"/>
      <sheetName val="DRE Op. + Linha 2A 31.000"/>
      <sheetName val="CS IR Op+Linha 2A 31.000"/>
      <sheetName val="DRE Op+Linha 2A 36.000"/>
      <sheetName val="CS IR Op+ Linha 2A 36.000"/>
      <sheetName val="DRE Oppor+SC+2A"/>
      <sheetName val="CS IR Opport+2A+SC"/>
      <sheetName val="DRE's"/>
      <sheetName val="DREComparativa"/>
      <sheetName val="PAYBACK"/>
      <sheetName val="TIR"/>
      <sheetName val="Fluxo de Caixa Opport."/>
      <sheetName val="Fluxo de Caixa Comercial"/>
      <sheetName val="Fluxo de Caixa Oppor + 2A"/>
      <sheetName val="Fluxo Opport+SC+2A"/>
      <sheetName val="Fluxo de Caixa Oppor + SC"/>
      <sheetName val="DRE Op.+SC dados Reais"/>
      <sheetName val="Fluxo de caixa Final Opportrans"/>
      <sheetName val="Retorno"/>
      <sheetName val="Metrô D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1"/>
      <sheetName val="Resultados"/>
      <sheetName val="Painel de Controle"/>
      <sheetName val="SPE"/>
      <sheetName val="Valuation"/>
      <sheetName val="Premissas Funding"/>
      <sheetName val="Balanço Prévio"/>
      <sheetName val="Entrada de Dados"/>
      <sheetName val="Sensib"/>
      <sheetName val="2"/>
      <sheetName val="Receitas"/>
      <sheetName val="Capex Estimado"/>
      <sheetName val="Capex Orçado"/>
      <sheetName val="Opex"/>
      <sheetName val="3"/>
      <sheetName val="Funding"/>
      <sheetName val="Debt"/>
      <sheetName val="IS"/>
      <sheetName val="BS"/>
      <sheetName val="CF"/>
      <sheetName val="Auxiliar"/>
      <sheetName val="Resultados velho"/>
      <sheetName val="4"/>
      <sheetName val="Indicadores"/>
      <sheetName val="Rec Opex Capex"/>
      <sheetName val="Rec Totais (a)"/>
      <sheetName val="Rec Totais (b)"/>
      <sheetName val="Balanço"/>
      <sheetName val="Resultado"/>
      <sheetName val="Fluxos Acumulados"/>
      <sheetName val="Cap Dív"/>
      <sheetName val="DSCR - LTDE"/>
      <sheetName val="Rentabilidade"/>
      <sheetName val="Módulo2"/>
      <sheetName val="Módul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Andrade Gutierrez Concessoes S/A</v>
          </cell>
        </row>
        <row r="2">
          <cell r="A2" t="str">
            <v>Fluxo de Caixa da Companhia Operacional</v>
          </cell>
          <cell r="E2" t="str">
            <v>Petrolina</v>
          </cell>
          <cell r="S2">
            <v>37838</v>
          </cell>
          <cell r="T2" t="str">
            <v>Petrolina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13</v>
          </cell>
          <cell r="R3">
            <v>14</v>
          </cell>
          <cell r="S3">
            <v>15</v>
          </cell>
          <cell r="T3">
            <v>16</v>
          </cell>
          <cell r="U3">
            <v>17</v>
          </cell>
          <cell r="V3">
            <v>18</v>
          </cell>
          <cell r="W3">
            <v>19</v>
          </cell>
          <cell r="X3">
            <v>20</v>
          </cell>
          <cell r="Y3">
            <v>21</v>
          </cell>
          <cell r="Z3">
            <v>22</v>
          </cell>
          <cell r="AA3">
            <v>23</v>
          </cell>
          <cell r="AB3">
            <v>24</v>
          </cell>
          <cell r="AC3">
            <v>25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</row>
        <row r="5">
          <cell r="A5" t="str">
            <v xml:space="preserve">Fluxo de Caixa  </v>
          </cell>
          <cell r="B5" t="str">
            <v>V.Presente</v>
          </cell>
          <cell r="C5" t="str">
            <v>Total</v>
          </cell>
          <cell r="E5">
            <v>2004</v>
          </cell>
          <cell r="F5">
            <v>2005</v>
          </cell>
          <cell r="G5">
            <v>2006</v>
          </cell>
          <cell r="H5">
            <v>2007</v>
          </cell>
          <cell r="I5">
            <v>2008</v>
          </cell>
          <cell r="J5">
            <v>2009</v>
          </cell>
          <cell r="K5">
            <v>2010</v>
          </cell>
          <cell r="L5">
            <v>2011</v>
          </cell>
          <cell r="M5">
            <v>2012</v>
          </cell>
          <cell r="N5">
            <v>2013</v>
          </cell>
          <cell r="O5">
            <v>2014</v>
          </cell>
          <cell r="P5">
            <v>2015</v>
          </cell>
          <cell r="Q5">
            <v>2016</v>
          </cell>
          <cell r="R5">
            <v>2017</v>
          </cell>
          <cell r="S5">
            <v>2018</v>
          </cell>
          <cell r="T5">
            <v>2019</v>
          </cell>
          <cell r="U5">
            <v>2020</v>
          </cell>
          <cell r="V5">
            <v>2021</v>
          </cell>
          <cell r="W5">
            <v>2022</v>
          </cell>
          <cell r="X5">
            <v>2023</v>
          </cell>
          <cell r="Y5">
            <v>2024</v>
          </cell>
          <cell r="Z5">
            <v>2025</v>
          </cell>
          <cell r="AA5">
            <v>2026</v>
          </cell>
          <cell r="AB5">
            <v>2027</v>
          </cell>
          <cell r="AC5">
            <v>2028</v>
          </cell>
        </row>
        <row r="7">
          <cell r="A7" t="str">
            <v xml:space="preserve">1. EBITDA </v>
          </cell>
          <cell r="B7">
            <v>217220.1380759181</v>
          </cell>
          <cell r="C7">
            <v>1071346.6828975552</v>
          </cell>
          <cell r="E7">
            <v>10738.341956317157</v>
          </cell>
          <cell r="F7">
            <v>12271.59857504492</v>
          </cell>
          <cell r="G7">
            <v>15849.648929455816</v>
          </cell>
          <cell r="H7">
            <v>18569.492747586926</v>
          </cell>
          <cell r="I7">
            <v>21019.365485150774</v>
          </cell>
          <cell r="J7">
            <v>22552.057937770322</v>
          </cell>
          <cell r="K7">
            <v>24841.349962157627</v>
          </cell>
          <cell r="L7">
            <v>26438.163641688472</v>
          </cell>
          <cell r="M7">
            <v>29041.103634090112</v>
          </cell>
          <cell r="N7">
            <v>31450.158767513381</v>
          </cell>
          <cell r="O7">
            <v>33071.108036095735</v>
          </cell>
          <cell r="P7">
            <v>35984.748143613557</v>
          </cell>
          <cell r="Q7">
            <v>38869.593531414044</v>
          </cell>
          <cell r="R7">
            <v>42421.071492134928</v>
          </cell>
          <cell r="S7">
            <v>45000.239117914985</v>
          </cell>
          <cell r="T7">
            <v>47650.302586128455</v>
          </cell>
          <cell r="U7">
            <v>51516.361982878225</v>
          </cell>
          <cell r="V7">
            <v>54523.242905125342</v>
          </cell>
          <cell r="W7">
            <v>58883.880566745807</v>
          </cell>
          <cell r="X7">
            <v>63239.373125501399</v>
          </cell>
          <cell r="Y7">
            <v>67567.106605120556</v>
          </cell>
          <cell r="Z7">
            <v>72807.813474340597</v>
          </cell>
          <cell r="AA7">
            <v>76996.320867099072</v>
          </cell>
          <cell r="AB7">
            <v>82525.339004578243</v>
          </cell>
          <cell r="AC7">
            <v>88394.899822088686</v>
          </cell>
        </row>
        <row r="8">
          <cell r="A8" t="str">
            <v xml:space="preserve">Receita </v>
          </cell>
          <cell r="B8">
            <v>367077.21156103018</v>
          </cell>
          <cell r="C8">
            <v>1787948.8203702136</v>
          </cell>
          <cell r="E8">
            <v>19832.772444751921</v>
          </cell>
          <cell r="F8">
            <v>23042.065143718017</v>
          </cell>
          <cell r="G8">
            <v>27597.263565768331</v>
          </cell>
          <cell r="H8">
            <v>31249.661062282237</v>
          </cell>
          <cell r="I8">
            <v>35346.383736958152</v>
          </cell>
          <cell r="J8">
            <v>38247.168744340677</v>
          </cell>
          <cell r="K8">
            <v>41447.558578924254</v>
          </cell>
          <cell r="L8">
            <v>44745.734286673425</v>
          </cell>
          <cell r="M8">
            <v>48260.306391841601</v>
          </cell>
          <cell r="N8">
            <v>52016.551936756216</v>
          </cell>
          <cell r="O8">
            <v>55961.686636949606</v>
          </cell>
          <cell r="P8">
            <v>60166.492685452402</v>
          </cell>
          <cell r="Q8">
            <v>64663.73039771495</v>
          </cell>
          <cell r="R8">
            <v>69430.78670455965</v>
          </cell>
          <cell r="S8">
            <v>74521.876070011655</v>
          </cell>
          <cell r="T8">
            <v>79902.91413828294</v>
          </cell>
          <cell r="U8">
            <v>85616.341082115323</v>
          </cell>
          <cell r="V8">
            <v>91677.619309550297</v>
          </cell>
          <cell r="W8">
            <v>98103.189399125025</v>
          </cell>
          <cell r="X8">
            <v>104937.30408009262</v>
          </cell>
          <cell r="Y8">
            <v>112133.54912554174</v>
          </cell>
          <cell r="Z8">
            <v>119744.19766679448</v>
          </cell>
          <cell r="AA8">
            <v>127786.42120743897</v>
          </cell>
          <cell r="AB8">
            <v>136278.39810967998</v>
          </cell>
          <cell r="AC8">
            <v>145238.84786488919</v>
          </cell>
        </row>
        <row r="9">
          <cell r="A9" t="str">
            <v>Imposto sobre Faturamento</v>
          </cell>
          <cell r="B9">
            <v>-28081.406684418809</v>
          </cell>
          <cell r="C9">
            <v>-136778.08475832132</v>
          </cell>
          <cell r="E9">
            <v>-1517.2070920235219</v>
          </cell>
          <cell r="F9">
            <v>-1762.7179834944282</v>
          </cell>
          <cell r="G9">
            <v>-2111.1906627812773</v>
          </cell>
          <cell r="H9">
            <v>-2390.5990712645907</v>
          </cell>
          <cell r="I9">
            <v>-2703.9983558772983</v>
          </cell>
          <cell r="J9">
            <v>-2925.9084089420617</v>
          </cell>
          <cell r="K9">
            <v>-3170.7382312877053</v>
          </cell>
          <cell r="L9">
            <v>-3423.0486729305167</v>
          </cell>
          <cell r="M9">
            <v>-3691.9134389758824</v>
          </cell>
          <cell r="N9">
            <v>-3979.2662231618501</v>
          </cell>
          <cell r="O9">
            <v>-4281.069027726644</v>
          </cell>
          <cell r="P9">
            <v>-4602.7366904371083</v>
          </cell>
          <cell r="Q9">
            <v>-4946.7753754251935</v>
          </cell>
          <cell r="R9">
            <v>-5311.4551828988133</v>
          </cell>
          <cell r="S9">
            <v>-5700.9235193558907</v>
          </cell>
          <cell r="T9">
            <v>-6112.5729315786448</v>
          </cell>
          <cell r="U9">
            <v>-6549.6500927818215</v>
          </cell>
          <cell r="V9">
            <v>-7013.3378771805983</v>
          </cell>
          <cell r="W9">
            <v>-7504.8939890330639</v>
          </cell>
          <cell r="X9">
            <v>-8027.7037621270847</v>
          </cell>
          <cell r="Y9">
            <v>-8578.2165081039439</v>
          </cell>
          <cell r="Z9">
            <v>-9160.4311215097769</v>
          </cell>
          <cell r="AA9">
            <v>-9775.6612223690809</v>
          </cell>
          <cell r="AB9">
            <v>-10425.297455390519</v>
          </cell>
          <cell r="AC9">
            <v>-11110.771861664023</v>
          </cell>
        </row>
        <row r="10">
          <cell r="A10" t="str">
            <v>Custo Operacional</v>
          </cell>
          <cell r="B10">
            <v>-118771.64306307261</v>
          </cell>
          <cell r="C10">
            <v>-561262.05271433713</v>
          </cell>
          <cell r="E10">
            <v>-7577.2233964112438</v>
          </cell>
          <cell r="F10">
            <v>-8813.7485851786678</v>
          </cell>
          <cell r="G10">
            <v>-9436.4239735312367</v>
          </cell>
          <cell r="H10">
            <v>-10050.569243430722</v>
          </cell>
          <cell r="I10">
            <v>-11382.01989593008</v>
          </cell>
          <cell r="J10">
            <v>-12517.202397628291</v>
          </cell>
          <cell r="K10">
            <v>-13199.470385478919</v>
          </cell>
          <cell r="L10">
            <v>-14590.521972054436</v>
          </cell>
          <cell r="M10">
            <v>-15195.289318775607</v>
          </cell>
          <cell r="N10">
            <v>-16203.126946080982</v>
          </cell>
          <cell r="O10">
            <v>-18186.509573127223</v>
          </cell>
          <cell r="P10">
            <v>-19142.007851401733</v>
          </cell>
          <cell r="Q10">
            <v>-20345.361490875708</v>
          </cell>
          <cell r="R10">
            <v>-21118.260029525907</v>
          </cell>
          <cell r="S10">
            <v>-23116.71343274078</v>
          </cell>
          <cell r="T10">
            <v>-25336.038620575837</v>
          </cell>
          <cell r="U10">
            <v>-26634.329006455268</v>
          </cell>
          <cell r="V10">
            <v>-29065.038527244349</v>
          </cell>
          <cell r="W10">
            <v>-30529.414843346156</v>
          </cell>
          <cell r="X10">
            <v>-32375.227192464139</v>
          </cell>
          <cell r="Y10">
            <v>-34609.226012317253</v>
          </cell>
          <cell r="Z10">
            <v>-36328.95307094411</v>
          </cell>
          <cell r="AA10">
            <v>-39491.439117970811</v>
          </cell>
          <cell r="AB10">
            <v>-41795.76164971121</v>
          </cell>
          <cell r="AC10">
            <v>-44222.176181136478</v>
          </cell>
        </row>
        <row r="11">
          <cell r="A11" t="str">
            <v>Participação nos Lucros</v>
          </cell>
          <cell r="B11">
            <v>-3004.0237376207238</v>
          </cell>
          <cell r="C11">
            <v>-18562</v>
          </cell>
          <cell r="E11">
            <v>0</v>
          </cell>
          <cell r="F11">
            <v>-194</v>
          </cell>
          <cell r="G11">
            <v>-200</v>
          </cell>
          <cell r="H11">
            <v>-239</v>
          </cell>
          <cell r="I11">
            <v>-241</v>
          </cell>
          <cell r="J11">
            <v>-252</v>
          </cell>
          <cell r="K11">
            <v>-236</v>
          </cell>
          <cell r="L11">
            <v>-294</v>
          </cell>
          <cell r="M11">
            <v>-332</v>
          </cell>
          <cell r="N11">
            <v>-384</v>
          </cell>
          <cell r="O11">
            <v>-423</v>
          </cell>
          <cell r="P11">
            <v>-437</v>
          </cell>
          <cell r="Q11">
            <v>-502</v>
          </cell>
          <cell r="R11">
            <v>-580</v>
          </cell>
          <cell r="S11">
            <v>-704</v>
          </cell>
          <cell r="T11">
            <v>-804</v>
          </cell>
          <cell r="U11">
            <v>-916</v>
          </cell>
          <cell r="V11">
            <v>-1076</v>
          </cell>
          <cell r="W11">
            <v>-1185</v>
          </cell>
          <cell r="X11">
            <v>-1295</v>
          </cell>
          <cell r="Y11">
            <v>-1379</v>
          </cell>
          <cell r="Z11">
            <v>-1447</v>
          </cell>
          <cell r="AA11">
            <v>-1523</v>
          </cell>
          <cell r="AB11">
            <v>-1532</v>
          </cell>
          <cell r="AC11">
            <v>-1511</v>
          </cell>
        </row>
        <row r="13">
          <cell r="A13" t="str">
            <v>2. Investimentos</v>
          </cell>
          <cell r="B13">
            <v>-104685.40829878714</v>
          </cell>
          <cell r="C13">
            <v>-293997.16671456111</v>
          </cell>
          <cell r="E13">
            <v>-14659.238131826241</v>
          </cell>
          <cell r="F13">
            <v>-20728.15129601314</v>
          </cell>
          <cell r="G13">
            <v>-22587.165042769775</v>
          </cell>
          <cell r="H13">
            <v>-14433.081100448489</v>
          </cell>
          <cell r="I13">
            <v>-16717.295857184174</v>
          </cell>
          <cell r="J13">
            <v>-8277.894832758966</v>
          </cell>
          <cell r="K13">
            <v>-8473.9656448520818</v>
          </cell>
          <cell r="L13">
            <v>-8982.5583182245828</v>
          </cell>
          <cell r="M13">
            <v>-9436.0802674771694</v>
          </cell>
          <cell r="N13">
            <v>-9843.6214585840735</v>
          </cell>
          <cell r="O13">
            <v>-8672.4681231986506</v>
          </cell>
          <cell r="P13">
            <v>-9122.9785588511368</v>
          </cell>
          <cell r="Q13">
            <v>-9628.3789861133519</v>
          </cell>
          <cell r="R13">
            <v>-10071.041228075001</v>
          </cell>
          <cell r="S13">
            <v>-10546.228029096266</v>
          </cell>
          <cell r="T13">
            <v>-9037.5050420286461</v>
          </cell>
          <cell r="U13">
            <v>-9482.9434955143115</v>
          </cell>
          <cell r="V13">
            <v>-9941.9991364413436</v>
          </cell>
          <cell r="W13">
            <v>-10415.459372407297</v>
          </cell>
          <cell r="X13">
            <v>-10948.081761874437</v>
          </cell>
          <cell r="Y13">
            <v>-11353.098172002567</v>
          </cell>
          <cell r="Z13">
            <v>-11863.653519493106</v>
          </cell>
          <cell r="AA13">
            <v>-12385.704884822626</v>
          </cell>
          <cell r="AB13">
            <v>-12920.541327816351</v>
          </cell>
          <cell r="AC13">
            <v>-13468.033126687398</v>
          </cell>
        </row>
        <row r="14">
          <cell r="A14" t="str">
            <v>sistema de água</v>
          </cell>
          <cell r="B14">
            <v>-27004.37763000033</v>
          </cell>
          <cell r="C14">
            <v>-66592.989353523459</v>
          </cell>
          <cell r="E14">
            <v>-6863.9240235816724</v>
          </cell>
          <cell r="F14">
            <v>-7207.1202247607562</v>
          </cell>
          <cell r="G14">
            <v>-2659.8212182579709</v>
          </cell>
          <cell r="H14">
            <v>-2847.863823327893</v>
          </cell>
          <cell r="I14">
            <v>-2984.9864449492347</v>
          </cell>
          <cell r="J14">
            <v>-2266.7250972760912</v>
          </cell>
          <cell r="K14">
            <v>-2391.9372244377987</v>
          </cell>
          <cell r="L14">
            <v>-2551.6566275157502</v>
          </cell>
          <cell r="M14">
            <v>-2657.7599396117434</v>
          </cell>
          <cell r="N14">
            <v>-2727.9733279740135</v>
          </cell>
          <cell r="O14">
            <v>-2084.5854364022989</v>
          </cell>
          <cell r="P14">
            <v>-2180.4541742892843</v>
          </cell>
          <cell r="Q14">
            <v>-2306.4761945128539</v>
          </cell>
          <cell r="R14">
            <v>-2375.3201751443203</v>
          </cell>
          <cell r="S14">
            <v>-2474.2645756773272</v>
          </cell>
          <cell r="T14">
            <v>-1722.9761676158801</v>
          </cell>
          <cell r="U14">
            <v>-1788.6204565698042</v>
          </cell>
          <cell r="V14">
            <v>-1852.7997309962327</v>
          </cell>
          <cell r="W14">
            <v>-1916.0450929939034</v>
          </cell>
          <cell r="X14">
            <v>-2008.4158738397841</v>
          </cell>
          <cell r="Y14">
            <v>-2037.9073980974272</v>
          </cell>
          <cell r="Z14">
            <v>-2094.9659923406889</v>
          </cell>
          <cell r="AA14">
            <v>-2148.3019330337602</v>
          </cell>
          <cell r="AB14">
            <v>-2198.060287972964</v>
          </cell>
          <cell r="AC14">
            <v>-2244.0279123440027</v>
          </cell>
        </row>
        <row r="15">
          <cell r="A15" t="str">
            <v>sistema de esgoto</v>
          </cell>
          <cell r="B15">
            <v>-48374.706737320026</v>
          </cell>
          <cell r="C15">
            <v>-108811.92695633206</v>
          </cell>
          <cell r="E15">
            <v>-4913.52534407434</v>
          </cell>
          <cell r="F15">
            <v>-10219.371105964035</v>
          </cell>
          <cell r="G15">
            <v>-16399.945145153681</v>
          </cell>
          <cell r="H15">
            <v>-8884.2529103043053</v>
          </cell>
          <cell r="I15">
            <v>-10073.168759817994</v>
          </cell>
          <cell r="J15">
            <v>-2928.1422149915516</v>
          </cell>
          <cell r="K15">
            <v>-3086.5148360787248</v>
          </cell>
          <cell r="L15">
            <v>-3258.4808186131486</v>
          </cell>
          <cell r="M15">
            <v>-3418.7803841600353</v>
          </cell>
          <cell r="N15">
            <v>-3558.2431852314526</v>
          </cell>
          <cell r="O15">
            <v>-2821.2968936277425</v>
          </cell>
          <cell r="P15">
            <v>-2954.8584602219644</v>
          </cell>
          <cell r="Q15">
            <v>-3100.6460065424521</v>
          </cell>
          <cell r="R15">
            <v>-3227.7331340891164</v>
          </cell>
          <cell r="S15">
            <v>-3343.4242461123176</v>
          </cell>
          <cell r="T15">
            <v>-2310.9530573126071</v>
          </cell>
          <cell r="U15">
            <v>-2400.4896776536802</v>
          </cell>
          <cell r="V15">
            <v>-2489.1564372400499</v>
          </cell>
          <cell r="W15">
            <v>-2576.4343373838788</v>
          </cell>
          <cell r="X15">
            <v>-2676.2146554667975</v>
          </cell>
          <cell r="Y15">
            <v>-2692.9141559715563</v>
          </cell>
          <cell r="Z15">
            <v>-2768.3656888550763</v>
          </cell>
          <cell r="AA15">
            <v>-2838.9387449418655</v>
          </cell>
          <cell r="AB15">
            <v>-2904.8521171919906</v>
          </cell>
          <cell r="AC15">
            <v>-2965.2246393317087</v>
          </cell>
        </row>
        <row r="16">
          <cell r="A16" t="str">
            <v>reposição e melhorias</v>
          </cell>
          <cell r="B16">
            <v>-29306.323931466792</v>
          </cell>
          <cell r="C16">
            <v>-118592.25040470566</v>
          </cell>
          <cell r="E16">
            <v>-2881.7887641702282</v>
          </cell>
          <cell r="F16">
            <v>-3301.6599652883483</v>
          </cell>
          <cell r="G16">
            <v>-3527.3986793581262</v>
          </cell>
          <cell r="H16">
            <v>-2700.9643668162926</v>
          </cell>
          <cell r="I16">
            <v>-3659.1406524169461</v>
          </cell>
          <cell r="J16">
            <v>-3083.0275204913228</v>
          </cell>
          <cell r="K16">
            <v>-2995.5135843355583</v>
          </cell>
          <cell r="L16">
            <v>-3172.4208720956835</v>
          </cell>
          <cell r="M16">
            <v>-3359.5399437053902</v>
          </cell>
          <cell r="N16">
            <v>-3557.4049453786074</v>
          </cell>
          <cell r="O16">
            <v>-3766.5857931686105</v>
          </cell>
          <cell r="P16">
            <v>-3987.6659243398876</v>
          </cell>
          <cell r="Q16">
            <v>-4221.2567850580444</v>
          </cell>
          <cell r="R16">
            <v>-4467.9879188415634</v>
          </cell>
          <cell r="S16">
            <v>-4728.5392073066223</v>
          </cell>
          <cell r="T16">
            <v>-5003.5758171001589</v>
          </cell>
          <cell r="U16">
            <v>-5293.8333612908273</v>
          </cell>
          <cell r="V16">
            <v>-5600.0429682050599</v>
          </cell>
          <cell r="W16">
            <v>-5922.9799420295149</v>
          </cell>
          <cell r="X16">
            <v>-6263.4512325678552</v>
          </cell>
          <cell r="Y16">
            <v>-6622.2766179335822</v>
          </cell>
          <cell r="Z16">
            <v>-7000.3218382973409</v>
          </cell>
          <cell r="AA16">
            <v>-7398.4642068470012</v>
          </cell>
          <cell r="AB16">
            <v>-7817.6289226513973</v>
          </cell>
          <cell r="AC16">
            <v>-8258.7805750116877</v>
          </cell>
        </row>
        <row r="17">
          <cell r="A17" t="str">
            <v>(+/-) Sensibilidade</v>
          </cell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Despesas Pré Operacionais</v>
          </cell>
          <cell r="B18">
            <v>0</v>
          </cell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A20" t="str">
            <v>3. Outros Itens</v>
          </cell>
          <cell r="B20">
            <v>-2636.8766275343492</v>
          </cell>
          <cell r="C20">
            <v>1.8189894035458565E-12</v>
          </cell>
          <cell r="E20">
            <v>-1033.7394042577487</v>
          </cell>
          <cell r="F20">
            <v>-165.98789107704454</v>
          </cell>
          <cell r="G20">
            <v>-310.42818280557287</v>
          </cell>
          <cell r="H20">
            <v>-249.00006751518194</v>
          </cell>
          <cell r="I20">
            <v>-225.51615373809523</v>
          </cell>
          <cell r="J20">
            <v>-145.11154612879801</v>
          </cell>
          <cell r="K20">
            <v>-207.36261330885034</v>
          </cell>
          <cell r="L20">
            <v>-157.32525161673124</v>
          </cell>
          <cell r="M20">
            <v>-240.80338049038863</v>
          </cell>
          <cell r="N20">
            <v>-227.2185671953402</v>
          </cell>
          <cell r="O20">
            <v>-145.93365164003382</v>
          </cell>
          <cell r="P20">
            <v>-267.77214237124679</v>
          </cell>
          <cell r="Q20">
            <v>-271.21487579869984</v>
          </cell>
          <cell r="R20">
            <v>-329.43032335167538</v>
          </cell>
          <cell r="S20">
            <v>-254.00100809339773</v>
          </cell>
          <cell r="T20">
            <v>-259.63122381905868</v>
          </cell>
          <cell r="U20">
            <v>-363.84388800813946</v>
          </cell>
          <cell r="V20">
            <v>-298.21244670724832</v>
          </cell>
          <cell r="W20">
            <v>-408.83520035088839</v>
          </cell>
          <cell r="X20">
            <v>-410.71357590215507</v>
          </cell>
          <cell r="Y20">
            <v>-408.39385315975585</v>
          </cell>
          <cell r="Z20">
            <v>-485.48824745200011</v>
          </cell>
          <cell r="AA20">
            <v>-400.91539804650074</v>
          </cell>
          <cell r="AB20">
            <v>-509.5880004287269</v>
          </cell>
          <cell r="AC20">
            <v>-538.11946571033377</v>
          </cell>
        </row>
        <row r="21">
          <cell r="A21" t="str">
            <v>Parcela Fixa Direito de Outorga</v>
          </cell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 t="str">
            <v>Pagamento Refinanciamentos Diversos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Capital de Giro</v>
          </cell>
          <cell r="B23">
            <v>-2636.8766275343492</v>
          </cell>
          <cell r="C23">
            <v>1.8189894035458565E-12</v>
          </cell>
          <cell r="E23">
            <v>-1033.7394042577487</v>
          </cell>
          <cell r="F23">
            <v>-165.98789107704454</v>
          </cell>
          <cell r="G23">
            <v>-310.42818280557287</v>
          </cell>
          <cell r="H23">
            <v>-249.00006751518194</v>
          </cell>
          <cell r="I23">
            <v>-225.51615373809523</v>
          </cell>
          <cell r="J23">
            <v>-145.11154612879801</v>
          </cell>
          <cell r="K23">
            <v>-207.36261330885034</v>
          </cell>
          <cell r="L23">
            <v>-157.32525161673124</v>
          </cell>
          <cell r="M23">
            <v>-240.80338049038863</v>
          </cell>
          <cell r="N23">
            <v>-227.2185671953402</v>
          </cell>
          <cell r="O23">
            <v>-145.93365164003382</v>
          </cell>
          <cell r="P23">
            <v>-267.77214237124679</v>
          </cell>
          <cell r="Q23">
            <v>-271.21487579869984</v>
          </cell>
          <cell r="R23">
            <v>-329.43032335167538</v>
          </cell>
          <cell r="S23">
            <v>-254.00100809339773</v>
          </cell>
          <cell r="T23">
            <v>-259.63122381905868</v>
          </cell>
          <cell r="U23">
            <v>-363.84388800813946</v>
          </cell>
          <cell r="V23">
            <v>-298.21244670724832</v>
          </cell>
          <cell r="W23">
            <v>-408.83520035088839</v>
          </cell>
          <cell r="X23">
            <v>-410.71357590215507</v>
          </cell>
          <cell r="Y23">
            <v>-408.39385315975585</v>
          </cell>
          <cell r="Z23">
            <v>-485.48824745200011</v>
          </cell>
          <cell r="AA23">
            <v>-400.91539804650074</v>
          </cell>
          <cell r="AB23">
            <v>-509.5880004287269</v>
          </cell>
          <cell r="AC23">
            <v>-538.11946571033377</v>
          </cell>
        </row>
        <row r="24">
          <cell r="A24" t="str">
            <v>Recebimento de itens do AC / RLP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A26" t="str">
            <v>4. Imposto de Renda</v>
          </cell>
          <cell r="B26">
            <v>-36080.020976762251</v>
          </cell>
          <cell r="C26">
            <v>-196682.48900644699</v>
          </cell>
          <cell r="E26">
            <v>-2034.0301742098241</v>
          </cell>
          <cell r="F26">
            <v>-2093.4363549618602</v>
          </cell>
          <cell r="G26">
            <v>-2510.7220120295792</v>
          </cell>
          <cell r="H26">
            <v>-2527.271780632826</v>
          </cell>
          <cell r="I26">
            <v>-2644.8687556516834</v>
          </cell>
          <cell r="J26">
            <v>-2475.1016395321749</v>
          </cell>
          <cell r="K26">
            <v>-3088.0377720439064</v>
          </cell>
          <cell r="L26">
            <v>-3495.2455783043993</v>
          </cell>
          <cell r="M26">
            <v>-4053.508297797172</v>
          </cell>
          <cell r="N26">
            <v>-4464.6351083376076</v>
          </cell>
          <cell r="O26">
            <v>-4616.2086736039546</v>
          </cell>
          <cell r="P26">
            <v>-5301.5649407245637</v>
          </cell>
          <cell r="Q26">
            <v>-6135.7718900961045</v>
          </cell>
          <cell r="R26">
            <v>-7461.9561223097699</v>
          </cell>
          <cell r="S26">
            <v>-8519.8680446747494</v>
          </cell>
          <cell r="T26">
            <v>-9718.137696003676</v>
          </cell>
          <cell r="U26">
            <v>-11417.741057074727</v>
          </cell>
          <cell r="V26">
            <v>-12576.2462933651</v>
          </cell>
          <cell r="W26">
            <v>-13751.639674546052</v>
          </cell>
          <cell r="X26">
            <v>-14643.31778008654</v>
          </cell>
          <cell r="Y26">
            <v>-15368.577603349593</v>
          </cell>
          <cell r="Z26">
            <v>-16175.884594264184</v>
          </cell>
          <cell r="AA26">
            <v>-16270.729708926181</v>
          </cell>
          <cell r="AB26">
            <v>-16050.46604524925</v>
          </cell>
          <cell r="AC26">
            <v>-9287.5214086715387</v>
          </cell>
        </row>
        <row r="27">
          <cell r="A27" t="str">
            <v>Imp. Renda + Contrib. Social</v>
          </cell>
          <cell r="B27">
            <v>-36080.020976762251</v>
          </cell>
          <cell r="C27">
            <v>-196682.48900644699</v>
          </cell>
          <cell r="E27">
            <v>-2034.0301742098241</v>
          </cell>
          <cell r="F27">
            <v>-2093.4363549618602</v>
          </cell>
          <cell r="G27">
            <v>-2510.7220120295792</v>
          </cell>
          <cell r="H27">
            <v>-2527.271780632826</v>
          </cell>
          <cell r="I27">
            <v>-2644.8687556516834</v>
          </cell>
          <cell r="J27">
            <v>-2475.1016395321749</v>
          </cell>
          <cell r="K27">
            <v>-3088.0377720439064</v>
          </cell>
          <cell r="L27">
            <v>-3495.2455783043993</v>
          </cell>
          <cell r="M27">
            <v>-4053.508297797172</v>
          </cell>
          <cell r="N27">
            <v>-4464.6351083376076</v>
          </cell>
          <cell r="O27">
            <v>-4616.2086736039546</v>
          </cell>
          <cell r="P27">
            <v>-5301.5649407245637</v>
          </cell>
          <cell r="Q27">
            <v>-6135.7718900961045</v>
          </cell>
          <cell r="R27">
            <v>-7461.9561223097699</v>
          </cell>
          <cell r="S27">
            <v>-8519.8680446747494</v>
          </cell>
          <cell r="T27">
            <v>-9718.137696003676</v>
          </cell>
          <cell r="U27">
            <v>-11417.741057074727</v>
          </cell>
          <cell r="V27">
            <v>-12576.2462933651</v>
          </cell>
          <cell r="W27">
            <v>-13751.639674546052</v>
          </cell>
          <cell r="X27">
            <v>-14643.31778008654</v>
          </cell>
          <cell r="Y27">
            <v>-15368.577603349593</v>
          </cell>
          <cell r="Z27">
            <v>-16175.884594264184</v>
          </cell>
          <cell r="AA27">
            <v>-16270.729708926181</v>
          </cell>
          <cell r="AB27">
            <v>-16050.46604524925</v>
          </cell>
          <cell r="AC27">
            <v>-9287.5214086715387</v>
          </cell>
        </row>
        <row r="29">
          <cell r="A29" t="str">
            <v>5. Funding</v>
          </cell>
          <cell r="B29">
            <v>-7622.0194430418705</v>
          </cell>
          <cell r="C29">
            <v>-110104.39444194558</v>
          </cell>
          <cell r="E29">
            <v>6989.5906000000004</v>
          </cell>
          <cell r="F29">
            <v>13843.813733744799</v>
          </cell>
          <cell r="G29">
            <v>13260.515529938843</v>
          </cell>
          <cell r="H29">
            <v>6759.1567703139372</v>
          </cell>
          <cell r="I29">
            <v>5811.7671000289229</v>
          </cell>
          <cell r="J29">
            <v>-9303.4393893132365</v>
          </cell>
          <cell r="K29">
            <v>-11441.052383214863</v>
          </cell>
          <cell r="L29">
            <v>-11286.38707725641</v>
          </cell>
          <cell r="M29">
            <v>-8798.1644535901232</v>
          </cell>
          <cell r="N29">
            <v>-9372.2842000301298</v>
          </cell>
          <cell r="O29">
            <v>-11335.458977132479</v>
          </cell>
          <cell r="P29">
            <v>-14067.035501472297</v>
          </cell>
          <cell r="Q29">
            <v>-14545.118754676158</v>
          </cell>
          <cell r="R29">
            <v>-14973.781692790933</v>
          </cell>
          <cell r="S29">
            <v>-14035.40431626168</v>
          </cell>
          <cell r="T29">
            <v>-15347.776140737969</v>
          </cell>
          <cell r="U29">
            <v>-12262.934768487396</v>
          </cell>
          <cell r="V29">
            <v>-7280.4005210084024</v>
          </cell>
          <cell r="W29">
            <v>-331.00000000000045</v>
          </cell>
          <cell r="X29">
            <v>-354.00000000000051</v>
          </cell>
          <cell r="Y29">
            <v>-375.00000000000051</v>
          </cell>
          <cell r="Z29">
            <v>-395.00000000000051</v>
          </cell>
          <cell r="AA29">
            <v>-417.00000000000051</v>
          </cell>
          <cell r="AB29">
            <v>-431.00000000000051</v>
          </cell>
          <cell r="AC29">
            <v>-417.00000000000051</v>
          </cell>
        </row>
        <row r="31">
          <cell r="A31" t="str">
            <v>Capital Aportado Pelos Acionistas</v>
          </cell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A33" t="str">
            <v>Financiamentos</v>
          </cell>
          <cell r="B33">
            <v>-7622.0194430418705</v>
          </cell>
          <cell r="C33">
            <v>-110104.39444194558</v>
          </cell>
          <cell r="E33">
            <v>6989.5906000000004</v>
          </cell>
          <cell r="F33">
            <v>13843.813733744799</v>
          </cell>
          <cell r="G33">
            <v>13260.515529938843</v>
          </cell>
          <cell r="H33">
            <v>6759.1567703139372</v>
          </cell>
          <cell r="I33">
            <v>5811.7671000289229</v>
          </cell>
          <cell r="J33">
            <v>-9303.4393893132365</v>
          </cell>
          <cell r="K33">
            <v>-11441.052383214863</v>
          </cell>
          <cell r="L33">
            <v>-11286.38707725641</v>
          </cell>
          <cell r="M33">
            <v>-8798.1644535901232</v>
          </cell>
          <cell r="N33">
            <v>-9372.2842000301298</v>
          </cell>
          <cell r="O33">
            <v>-11335.458977132479</v>
          </cell>
          <cell r="P33">
            <v>-14067.035501472297</v>
          </cell>
          <cell r="Q33">
            <v>-14545.118754676158</v>
          </cell>
          <cell r="R33">
            <v>-14973.781692790933</v>
          </cell>
          <cell r="S33">
            <v>-14035.40431626168</v>
          </cell>
          <cell r="T33">
            <v>-15347.776140737969</v>
          </cell>
          <cell r="U33">
            <v>-12262.934768487396</v>
          </cell>
          <cell r="V33">
            <v>-7280.4005210084024</v>
          </cell>
          <cell r="W33">
            <v>-331.00000000000045</v>
          </cell>
          <cell r="X33">
            <v>-354.00000000000051</v>
          </cell>
          <cell r="Y33">
            <v>-375.00000000000051</v>
          </cell>
          <cell r="Z33">
            <v>-395.00000000000051</v>
          </cell>
          <cell r="AA33">
            <v>-417.00000000000051</v>
          </cell>
          <cell r="AB33">
            <v>-431.00000000000051</v>
          </cell>
          <cell r="AC33">
            <v>-417.00000000000051</v>
          </cell>
        </row>
        <row r="35">
          <cell r="A35" t="str">
            <v>Valor a ser Financiado</v>
          </cell>
          <cell r="B35">
            <v>95564.954829555427</v>
          </cell>
          <cell r="C35">
            <v>256685.42199976929</v>
          </cell>
          <cell r="E35">
            <v>8057.88</v>
          </cell>
          <cell r="F35">
            <v>24771.172599487567</v>
          </cell>
          <cell r="G35">
            <v>15811.015529938843</v>
          </cell>
          <cell r="H35">
            <v>10103.156770313937</v>
          </cell>
          <cell r="I35">
            <v>11702.107100028923</v>
          </cell>
          <cell r="J35">
            <v>0</v>
          </cell>
          <cell r="K35">
            <v>0</v>
          </cell>
          <cell r="L35">
            <v>2147.96</v>
          </cell>
          <cell r="M35">
            <v>8604.6299999999992</v>
          </cell>
          <cell r="N35">
            <v>15959.1</v>
          </cell>
          <cell r="O35">
            <v>22851.93</v>
          </cell>
          <cell r="P35">
            <v>28301.15</v>
          </cell>
          <cell r="Q35">
            <v>31375.82</v>
          </cell>
          <cell r="R35">
            <v>29619.81</v>
          </cell>
          <cell r="S35">
            <v>25286.97</v>
          </cell>
          <cell r="T35">
            <v>15844.77</v>
          </cell>
          <cell r="U35">
            <v>6247.95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- Empréstimos Curto Prazo</v>
          </cell>
          <cell r="B36">
            <v>51502.730527858424</v>
          </cell>
          <cell r="C36">
            <v>194297.97</v>
          </cell>
          <cell r="E36">
            <v>8057.88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2147.96</v>
          </cell>
          <cell r="M36">
            <v>8604.6299999999992</v>
          </cell>
          <cell r="N36">
            <v>15959.1</v>
          </cell>
          <cell r="O36">
            <v>22851.93</v>
          </cell>
          <cell r="P36">
            <v>28301.15</v>
          </cell>
          <cell r="Q36">
            <v>31375.82</v>
          </cell>
          <cell r="R36">
            <v>29619.81</v>
          </cell>
          <cell r="S36">
            <v>25286.97</v>
          </cell>
          <cell r="T36">
            <v>15844.77</v>
          </cell>
          <cell r="U36">
            <v>6247.95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 t="str">
            <v>- Financiamentos Longo Prazo</v>
          </cell>
          <cell r="B37">
            <v>44062.224301697017</v>
          </cell>
          <cell r="C37">
            <v>62387.45199976927</v>
          </cell>
          <cell r="E37">
            <v>0</v>
          </cell>
          <cell r="F37">
            <v>24771.172599487567</v>
          </cell>
          <cell r="G37">
            <v>15811.015529938843</v>
          </cell>
          <cell r="H37">
            <v>10103.156770313937</v>
          </cell>
          <cell r="I37">
            <v>11702.107100028923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A39" t="str">
            <v>Pagamento de Principal</v>
          </cell>
          <cell r="B39">
            <v>-74554.782199991911</v>
          </cell>
          <cell r="C39">
            <v>-290233.96184782078</v>
          </cell>
          <cell r="E39">
            <v>0</v>
          </cell>
          <cell r="F39">
            <v>-7999.8158647058835</v>
          </cell>
          <cell r="G39">
            <v>0</v>
          </cell>
          <cell r="H39">
            <v>0</v>
          </cell>
          <cell r="I39">
            <v>0</v>
          </cell>
          <cell r="J39">
            <v>-3763.6893893132365</v>
          </cell>
          <cell r="K39">
            <v>-6354.1723832148646</v>
          </cell>
          <cell r="L39">
            <v>-8206.9372772564093</v>
          </cell>
          <cell r="M39">
            <v>-12606.417475018694</v>
          </cell>
          <cell r="N39">
            <v>-19772.753642887274</v>
          </cell>
          <cell r="O39">
            <v>-27889.283898561051</v>
          </cell>
          <cell r="P39">
            <v>-35557.884122900869</v>
          </cell>
          <cell r="Q39">
            <v>-41769.067226104729</v>
          </cell>
          <cell r="R39">
            <v>-40005.261842790933</v>
          </cell>
          <cell r="S39">
            <v>-35033.646637690254</v>
          </cell>
          <cell r="T39">
            <v>-28532.526205023685</v>
          </cell>
          <cell r="U39">
            <v>-16310.792647058823</v>
          </cell>
          <cell r="V39">
            <v>-6431.7132352941171</v>
          </cell>
          <cell r="W39">
            <v>-4.8149719505625442E-13</v>
          </cell>
          <cell r="X39">
            <v>-4.9408535701850947E-13</v>
          </cell>
          <cell r="Y39">
            <v>-4.9408535701850947E-13</v>
          </cell>
          <cell r="Z39">
            <v>-4.9408535701850947E-13</v>
          </cell>
          <cell r="AA39">
            <v>-4.9408535701850947E-13</v>
          </cell>
          <cell r="AB39">
            <v>-4.9408535701850947E-13</v>
          </cell>
          <cell r="AC39">
            <v>-4.9408535701850947E-13</v>
          </cell>
        </row>
        <row r="40">
          <cell r="A40" t="str">
            <v>- Empréstimos Curto Prazo</v>
          </cell>
          <cell r="B40">
            <v>-47101.84799135397</v>
          </cell>
          <cell r="C40">
            <v>-199717.55557058824</v>
          </cell>
          <cell r="E40">
            <v>0</v>
          </cell>
          <cell r="F40">
            <v>-7999.8158647058835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-2211.1352941176469</v>
          </cell>
          <cell r="N40">
            <v>-8857.7073529411755</v>
          </cell>
          <cell r="O40">
            <v>-16428.485294117647</v>
          </cell>
          <cell r="P40">
            <v>-23524.045588235291</v>
          </cell>
          <cell r="Q40">
            <v>-29133.536764705881</v>
          </cell>
          <cell r="R40">
            <v>-32298.638235294115</v>
          </cell>
          <cell r="S40">
            <v>-30490.980882352938</v>
          </cell>
          <cell r="T40">
            <v>-26030.704411764706</v>
          </cell>
          <cell r="U40">
            <v>-16310.792647058823</v>
          </cell>
          <cell r="V40">
            <v>-6431.7132352941171</v>
          </cell>
          <cell r="W40">
            <v>-4.8149719505625442E-13</v>
          </cell>
          <cell r="X40">
            <v>-4.9408535701850947E-13</v>
          </cell>
          <cell r="Y40">
            <v>-4.9408535701850947E-13</v>
          </cell>
          <cell r="Z40">
            <v>-4.9408535701850947E-13</v>
          </cell>
          <cell r="AA40">
            <v>-4.9408535701850947E-13</v>
          </cell>
          <cell r="AB40">
            <v>-4.9408535701850947E-13</v>
          </cell>
          <cell r="AC40">
            <v>-4.9408535701850947E-13</v>
          </cell>
        </row>
        <row r="41">
          <cell r="A41" t="str">
            <v>- Financiamentos Longo Prazo</v>
          </cell>
          <cell r="B41">
            <v>-27452.93420863794</v>
          </cell>
          <cell r="C41">
            <v>-90516.406277232585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-3763.6893893132365</v>
          </cell>
          <cell r="K41">
            <v>-6354.1723832148646</v>
          </cell>
          <cell r="L41">
            <v>-8206.9372772564093</v>
          </cell>
          <cell r="M41">
            <v>-10395.282180901047</v>
          </cell>
          <cell r="N41">
            <v>-10915.046289946098</v>
          </cell>
          <cell r="O41">
            <v>-11460.798604443404</v>
          </cell>
          <cell r="P41">
            <v>-12033.838534665574</v>
          </cell>
          <cell r="Q41">
            <v>-12635.530461398852</v>
          </cell>
          <cell r="R41">
            <v>-7706.6236074968219</v>
          </cell>
          <cell r="S41">
            <v>-4542.6657553373116</v>
          </cell>
          <cell r="T41">
            <v>-2501.8217932589782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- Endividamento Existente</v>
          </cell>
          <cell r="B42">
            <v>0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A44" t="str">
            <v>Pagamento de Juros</v>
          </cell>
          <cell r="B44">
            <v>-24421.448417662748</v>
          </cell>
          <cell r="C44">
            <v>-69426.854593894022</v>
          </cell>
          <cell r="E44">
            <v>-962.2894</v>
          </cell>
          <cell r="F44">
            <v>-1789.0430010368827</v>
          </cell>
          <cell r="G44">
            <v>-1961</v>
          </cell>
          <cell r="H44">
            <v>-2812</v>
          </cell>
          <cell r="I44">
            <v>-3592</v>
          </cell>
          <cell r="J44">
            <v>-4105</v>
          </cell>
          <cell r="K44">
            <v>-4084</v>
          </cell>
          <cell r="L44">
            <v>-4095.7397999999998</v>
          </cell>
          <cell r="M44">
            <v>-4543.9969785714284</v>
          </cell>
          <cell r="N44">
            <v>-5281.7505571428574</v>
          </cell>
          <cell r="O44">
            <v>-6000.5850785714283</v>
          </cell>
          <cell r="P44">
            <v>-6496.9513785714289</v>
          </cell>
          <cell r="Q44">
            <v>-6601.8315285714289</v>
          </cell>
          <cell r="R44">
            <v>-6018.8098499999996</v>
          </cell>
          <cell r="S44">
            <v>-5071.6476785714276</v>
          </cell>
          <cell r="T44">
            <v>-3630.4299357142854</v>
          </cell>
          <cell r="U44">
            <v>-1862.0921214285713</v>
          </cell>
          <cell r="V44">
            <v>-517.68728571428562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- Empréstimos Curto Prazo</v>
          </cell>
          <cell r="B45">
            <v>-8764.7883725784523</v>
          </cell>
          <cell r="C45">
            <v>-33677.854593894022</v>
          </cell>
          <cell r="E45">
            <v>-962.2894</v>
          </cell>
          <cell r="F45">
            <v>-922.04300103688274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-188.7398</v>
          </cell>
          <cell r="M45">
            <v>-933.9969785714286</v>
          </cell>
          <cell r="N45">
            <v>-2114.7505571428574</v>
          </cell>
          <cell r="O45">
            <v>-3329.5850785714283</v>
          </cell>
          <cell r="P45">
            <v>-4379.9513785714289</v>
          </cell>
          <cell r="Q45">
            <v>-5101.8315285714289</v>
          </cell>
          <cell r="R45">
            <v>-5201.8098499999996</v>
          </cell>
          <cell r="S45">
            <v>-4675.6476785714276</v>
          </cell>
          <cell r="T45">
            <v>-3487.4299357142854</v>
          </cell>
          <cell r="U45">
            <v>-1862.0921214285713</v>
          </cell>
          <cell r="V45">
            <v>-517.68728571428562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- Financiamentos Longo Prazo</v>
          </cell>
          <cell r="B46">
            <v>-15656.660045084298</v>
          </cell>
          <cell r="C46">
            <v>-35749</v>
          </cell>
          <cell r="E46">
            <v>0</v>
          </cell>
          <cell r="F46">
            <v>-867</v>
          </cell>
          <cell r="G46">
            <v>-1961</v>
          </cell>
          <cell r="H46">
            <v>-2812</v>
          </cell>
          <cell r="I46">
            <v>-3592</v>
          </cell>
          <cell r="J46">
            <v>-4105</v>
          </cell>
          <cell r="K46">
            <v>-4084</v>
          </cell>
          <cell r="L46">
            <v>-3907</v>
          </cell>
          <cell r="M46">
            <v>-3610</v>
          </cell>
          <cell r="N46">
            <v>-3167</v>
          </cell>
          <cell r="O46">
            <v>-2671</v>
          </cell>
          <cell r="P46">
            <v>-2117</v>
          </cell>
          <cell r="Q46">
            <v>-1500</v>
          </cell>
          <cell r="R46">
            <v>-817</v>
          </cell>
          <cell r="S46">
            <v>-396</v>
          </cell>
          <cell r="T46">
            <v>-143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- Endividamento Existente</v>
          </cell>
          <cell r="B47">
            <v>0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9">
          <cell r="A49" t="str">
            <v>Movimentação da Conta Reserva</v>
          </cell>
          <cell r="B49">
            <v>-2545.1055011746394</v>
          </cell>
          <cell r="C49">
            <v>-1.1368683772161603E-12</v>
          </cell>
          <cell r="E49">
            <v>0</v>
          </cell>
          <cell r="F49">
            <v>-980.5</v>
          </cell>
          <cell r="G49">
            <v>-425.5</v>
          </cell>
          <cell r="H49">
            <v>-390</v>
          </cell>
          <cell r="I49">
            <v>-2138.34</v>
          </cell>
          <cell r="J49">
            <v>-1284.75</v>
          </cell>
          <cell r="K49">
            <v>-837.88</v>
          </cell>
          <cell r="L49">
            <v>-945.67</v>
          </cell>
          <cell r="M49">
            <v>-38.380000000000003</v>
          </cell>
          <cell r="N49">
            <v>-24.88</v>
          </cell>
          <cell r="O49">
            <v>-9.52</v>
          </cell>
          <cell r="P49">
            <v>7.65</v>
          </cell>
          <cell r="Q49">
            <v>2805.96</v>
          </cell>
          <cell r="R49">
            <v>1792.48</v>
          </cell>
          <cell r="S49">
            <v>1146.92</v>
          </cell>
          <cell r="T49">
            <v>1322.41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1">
          <cell r="A51" t="str">
            <v>Outros Itens Financeiros</v>
          </cell>
          <cell r="C51">
            <v>-7129</v>
          </cell>
          <cell r="E51">
            <v>-106</v>
          </cell>
          <cell r="F51">
            <v>-158</v>
          </cell>
          <cell r="G51">
            <v>-164</v>
          </cell>
          <cell r="H51">
            <v>-142</v>
          </cell>
          <cell r="I51">
            <v>-160</v>
          </cell>
          <cell r="J51">
            <v>-150</v>
          </cell>
          <cell r="K51">
            <v>-165</v>
          </cell>
          <cell r="L51">
            <v>-186</v>
          </cell>
          <cell r="M51">
            <v>-214</v>
          </cell>
          <cell r="N51">
            <v>-252</v>
          </cell>
          <cell r="O51">
            <v>-288</v>
          </cell>
          <cell r="P51">
            <v>-321</v>
          </cell>
          <cell r="Q51">
            <v>-356</v>
          </cell>
          <cell r="R51">
            <v>-362</v>
          </cell>
          <cell r="S51">
            <v>-364</v>
          </cell>
          <cell r="T51">
            <v>-352</v>
          </cell>
          <cell r="U51">
            <v>-338</v>
          </cell>
          <cell r="V51">
            <v>-331</v>
          </cell>
          <cell r="W51">
            <v>-331</v>
          </cell>
          <cell r="X51">
            <v>-354</v>
          </cell>
          <cell r="Y51">
            <v>-375</v>
          </cell>
          <cell r="Z51">
            <v>-395</v>
          </cell>
          <cell r="AA51">
            <v>-417</v>
          </cell>
          <cell r="AB51">
            <v>-431</v>
          </cell>
          <cell r="AC51">
            <v>-417</v>
          </cell>
        </row>
        <row r="52">
          <cell r="A52" t="str">
            <v>Remuneração da Conta Reserva</v>
          </cell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A53" t="str">
            <v>Receitas Financeiras Sd Caixa</v>
          </cell>
          <cell r="B53">
            <v>0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CPMF</v>
          </cell>
          <cell r="B54">
            <v>-1665.6381537680213</v>
          </cell>
          <cell r="C54">
            <v>-7129</v>
          </cell>
          <cell r="E54">
            <v>-106</v>
          </cell>
          <cell r="F54">
            <v>-158</v>
          </cell>
          <cell r="G54">
            <v>-164</v>
          </cell>
          <cell r="H54">
            <v>-142</v>
          </cell>
          <cell r="I54">
            <v>-160</v>
          </cell>
          <cell r="J54">
            <v>-150</v>
          </cell>
          <cell r="K54">
            <v>-165</v>
          </cell>
          <cell r="L54">
            <v>-186</v>
          </cell>
          <cell r="M54">
            <v>-214</v>
          </cell>
          <cell r="N54">
            <v>-252</v>
          </cell>
          <cell r="O54">
            <v>-288</v>
          </cell>
          <cell r="P54">
            <v>-321</v>
          </cell>
          <cell r="Q54">
            <v>-356</v>
          </cell>
          <cell r="R54">
            <v>-362</v>
          </cell>
          <cell r="S54">
            <v>-364</v>
          </cell>
          <cell r="T54">
            <v>-352</v>
          </cell>
          <cell r="U54">
            <v>-338</v>
          </cell>
          <cell r="V54">
            <v>-331</v>
          </cell>
          <cell r="W54">
            <v>-331</v>
          </cell>
          <cell r="X54">
            <v>-354</v>
          </cell>
          <cell r="Y54">
            <v>-375</v>
          </cell>
          <cell r="Z54">
            <v>-395</v>
          </cell>
          <cell r="AA54">
            <v>-417</v>
          </cell>
          <cell r="AB54">
            <v>-431</v>
          </cell>
          <cell r="AC54">
            <v>-417</v>
          </cell>
        </row>
        <row r="56">
          <cell r="A56" t="str">
            <v>6. Pagamento de Dividendos</v>
          </cell>
          <cell r="B56">
            <v>-61225.989056653365</v>
          </cell>
          <cell r="C56">
            <v>-470562.63273460144</v>
          </cell>
          <cell r="E56">
            <v>0</v>
          </cell>
          <cell r="F56">
            <v>0</v>
          </cell>
          <cell r="G56">
            <v>-3927.6017487090794</v>
          </cell>
          <cell r="H56">
            <v>-4697.125592772195</v>
          </cell>
          <cell r="I56">
            <v>-4727.6453131081835</v>
          </cell>
          <cell r="J56">
            <v>-4944.5079699811931</v>
          </cell>
          <cell r="K56">
            <v>-4631.437435254923</v>
          </cell>
          <cell r="L56">
            <v>-5761.7637737397918</v>
          </cell>
          <cell r="M56">
            <v>-6512.6780124277348</v>
          </cell>
          <cell r="N56">
            <v>-7542.162312282263</v>
          </cell>
          <cell r="O56">
            <v>-8300.6814856906603</v>
          </cell>
          <cell r="P56">
            <v>-7225.530433966479</v>
          </cell>
          <cell r="Q56">
            <v>-8289.4866770243643</v>
          </cell>
          <cell r="R56">
            <v>-9584.7348602500806</v>
          </cell>
          <cell r="S56">
            <v>-11644.621646746604</v>
          </cell>
          <cell r="T56">
            <v>-13287.488423326842</v>
          </cell>
          <cell r="U56">
            <v>-17989.300132210141</v>
          </cell>
          <cell r="V56">
            <v>-21122.419517857554</v>
          </cell>
          <cell r="W56">
            <v>-23259.13654688211</v>
          </cell>
          <cell r="X56">
            <v>-25426.700223354041</v>
          </cell>
          <cell r="Y56">
            <v>-27071.059553277235</v>
          </cell>
          <cell r="Z56">
            <v>-28408.523992059392</v>
          </cell>
          <cell r="AA56">
            <v>-29897.293060598957</v>
          </cell>
          <cell r="AB56">
            <v>-30072.198610284464</v>
          </cell>
          <cell r="AC56">
            <v>-29666.006501092001</v>
          </cell>
        </row>
        <row r="57">
          <cell r="A57" t="str">
            <v>Dividendos</v>
          </cell>
          <cell r="E57">
            <v>0</v>
          </cell>
          <cell r="F57">
            <v>0</v>
          </cell>
          <cell r="G57">
            <v>-3927.6017487090794</v>
          </cell>
          <cell r="H57">
            <v>-4697.125592772195</v>
          </cell>
          <cell r="I57">
            <v>-4727.6453131081835</v>
          </cell>
          <cell r="J57">
            <v>-4944.5079699811931</v>
          </cell>
          <cell r="K57">
            <v>-4631.437435254923</v>
          </cell>
          <cell r="L57">
            <v>-5761.7637737397918</v>
          </cell>
          <cell r="M57">
            <v>-6512.6780124277348</v>
          </cell>
          <cell r="N57">
            <v>-7542.162312282263</v>
          </cell>
          <cell r="O57">
            <v>-8300.6814856906603</v>
          </cell>
          <cell r="P57">
            <v>-7225.530433966479</v>
          </cell>
          <cell r="Q57">
            <v>-8289.4866770243643</v>
          </cell>
          <cell r="R57">
            <v>-9584.7348602500806</v>
          </cell>
          <cell r="S57">
            <v>-11644.621646746604</v>
          </cell>
          <cell r="T57">
            <v>-13287.488423326842</v>
          </cell>
          <cell r="U57">
            <v>-17989.300132210141</v>
          </cell>
          <cell r="V57">
            <v>-21122.419517857554</v>
          </cell>
          <cell r="W57">
            <v>-23259.13654688211</v>
          </cell>
          <cell r="X57">
            <v>-25426.700223354041</v>
          </cell>
          <cell r="Y57">
            <v>-27071.059553277235</v>
          </cell>
          <cell r="Z57">
            <v>-28408.523992059392</v>
          </cell>
          <cell r="AA57">
            <v>-29897.293060598957</v>
          </cell>
          <cell r="AB57">
            <v>-30072.198610284464</v>
          </cell>
          <cell r="AC57">
            <v>-29666.006501092001</v>
          </cell>
        </row>
        <row r="58">
          <cell r="A58" t="str">
            <v>Juros Sobre o Capital Proprio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60">
          <cell r="A60" t="str">
            <v>Fluxo de Caixa da Companhia</v>
          </cell>
          <cell r="B60">
            <v>12142.699949483826</v>
          </cell>
          <cell r="C60">
            <v>1</v>
          </cell>
          <cell r="D60">
            <v>0</v>
          </cell>
          <cell r="E60">
            <v>1</v>
          </cell>
          <cell r="F60">
            <v>3128</v>
          </cell>
          <cell r="G60">
            <v>-226</v>
          </cell>
          <cell r="H60">
            <v>3422</v>
          </cell>
          <cell r="I60">
            <v>2516</v>
          </cell>
          <cell r="J60">
            <v>-2594</v>
          </cell>
          <cell r="K60">
            <v>-3001</v>
          </cell>
          <cell r="L60">
            <v>-3245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3304</v>
          </cell>
          <cell r="W60">
            <v>10718</v>
          </cell>
          <cell r="X60">
            <v>11457</v>
          </cell>
          <cell r="Y60">
            <v>12991</v>
          </cell>
          <cell r="Z60">
            <v>15479</v>
          </cell>
          <cell r="AA60">
            <v>17625</v>
          </cell>
          <cell r="AB60">
            <v>22542</v>
          </cell>
          <cell r="AC60">
            <v>35018</v>
          </cell>
        </row>
        <row r="61">
          <cell r="A61" t="str">
            <v>Fluxo de Caixa Acumulado</v>
          </cell>
          <cell r="B61" t="e">
            <v>#DIV/0!</v>
          </cell>
          <cell r="D61">
            <v>0</v>
          </cell>
          <cell r="E61">
            <v>1</v>
          </cell>
          <cell r="F61">
            <v>3129</v>
          </cell>
          <cell r="G61">
            <v>2903</v>
          </cell>
          <cell r="H61">
            <v>6325</v>
          </cell>
          <cell r="I61">
            <v>8841</v>
          </cell>
          <cell r="J61">
            <v>6247</v>
          </cell>
          <cell r="K61">
            <v>3246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3305</v>
          </cell>
          <cell r="W61">
            <v>14023</v>
          </cell>
          <cell r="X61">
            <v>25480</v>
          </cell>
          <cell r="Y61">
            <v>38471</v>
          </cell>
          <cell r="Z61">
            <v>53950</v>
          </cell>
          <cell r="AA61">
            <v>71575</v>
          </cell>
          <cell r="AB61">
            <v>94117</v>
          </cell>
          <cell r="AC61">
            <v>129135</v>
          </cell>
        </row>
        <row r="64">
          <cell r="A64" t="str">
            <v>restrição p/ empréstimo de curto prazo- % da receita</v>
          </cell>
          <cell r="D64">
            <v>0.2</v>
          </cell>
          <cell r="E64">
            <v>3966.5544889503844</v>
          </cell>
          <cell r="F64">
            <v>4608.4130287436037</v>
          </cell>
          <cell r="G64">
            <v>5519.452713153667</v>
          </cell>
          <cell r="H64">
            <v>6249.9322124564478</v>
          </cell>
          <cell r="I64">
            <v>7069.276747391631</v>
          </cell>
          <cell r="J64">
            <v>7649.4337488681358</v>
          </cell>
          <cell r="K64">
            <v>8289.5117157848508</v>
          </cell>
          <cell r="L64">
            <v>8949.1468573346847</v>
          </cell>
          <cell r="M64">
            <v>9652.0612783683209</v>
          </cell>
          <cell r="N64">
            <v>10403.310387351245</v>
          </cell>
          <cell r="O64">
            <v>11192.337327389921</v>
          </cell>
          <cell r="P64">
            <v>12033.298537090481</v>
          </cell>
          <cell r="Q64">
            <v>12932.746079542991</v>
          </cell>
          <cell r="R64">
            <v>13886.15734091193</v>
          </cell>
          <cell r="S64">
            <v>14904.375214002332</v>
          </cell>
          <cell r="T64">
            <v>15980.582827656588</v>
          </cell>
          <cell r="U64">
            <v>17123.268216423065</v>
          </cell>
          <cell r="V64">
            <v>18335.52386191006</v>
          </cell>
          <cell r="W64">
            <v>19620.637879825004</v>
          </cell>
          <cell r="X64">
            <v>20987.460816018527</v>
          </cell>
          <cell r="Y64">
            <v>22426.709825108352</v>
          </cell>
          <cell r="Z64">
            <v>23948.8395333589</v>
          </cell>
          <cell r="AA64">
            <v>25557.284241487796</v>
          </cell>
          <cell r="AB64">
            <v>27255.679621935997</v>
          </cell>
          <cell r="AC64">
            <v>29047.769572977839</v>
          </cell>
        </row>
      </sheetData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alanço"/>
      <sheetName val="DRE"/>
      <sheetName val="Viabilidade"/>
      <sheetName val="VPL"/>
      <sheetName val="Fluxo"/>
      <sheetName val="Payback"/>
      <sheetName val="TIR_TIRM"/>
      <sheetName val="Ke"/>
      <sheetName val="EVA"/>
      <sheetName val="Depr"/>
      <sheetName val="Honorario"/>
      <sheetName val="Ajuda"/>
      <sheetName val="Sensibilidade"/>
      <sheetName val="Tabelas"/>
      <sheetName val="Financiamento 1"/>
      <sheetName val="Financiamento 2"/>
      <sheetName val="Encargos"/>
    </sheetNames>
    <sheetDataSet>
      <sheetData sheetId="0" refreshError="1"/>
      <sheetData sheetId="1" refreshError="1"/>
      <sheetData sheetId="2">
        <row r="2">
          <cell r="G2" t="str">
            <v>07/10 a 07/11</v>
          </cell>
          <cell r="H2" t="str">
            <v>ANO 1</v>
          </cell>
          <cell r="I2" t="str">
            <v>ANO 2</v>
          </cell>
          <cell r="J2" t="str">
            <v>ANO 3</v>
          </cell>
          <cell r="K2" t="str">
            <v>ANO 4</v>
          </cell>
          <cell r="L2" t="str">
            <v>ANO 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I15" sqref="I15"/>
    </sheetView>
  </sheetViews>
  <sheetFormatPr defaultRowHeight="15" x14ac:dyDescent="0.25"/>
  <cols>
    <col min="1" max="1" width="30.7109375" bestFit="1" customWidth="1"/>
    <col min="2" max="2" width="13.7109375" bestFit="1" customWidth="1"/>
    <col min="3" max="6" width="10.5703125" bestFit="1" customWidth="1"/>
  </cols>
  <sheetData>
    <row r="1" spans="1:8" x14ac:dyDescent="0.25">
      <c r="A1" s="104" t="s">
        <v>79</v>
      </c>
      <c r="B1" s="106"/>
      <c r="C1" s="104" t="s">
        <v>83</v>
      </c>
      <c r="D1" s="105"/>
      <c r="E1" s="105"/>
      <c r="F1" s="105"/>
      <c r="G1" s="106"/>
    </row>
    <row r="2" spans="1:8" x14ac:dyDescent="0.25">
      <c r="A2" s="30" t="s">
        <v>80</v>
      </c>
      <c r="B2" s="103">
        <v>100000</v>
      </c>
      <c r="C2" s="30" t="s">
        <v>84</v>
      </c>
      <c r="D2" s="16"/>
      <c r="E2" s="16"/>
      <c r="F2" s="16"/>
      <c r="G2" s="103">
        <v>125000</v>
      </c>
    </row>
    <row r="3" spans="1:8" x14ac:dyDescent="0.25">
      <c r="A3" s="30" t="s">
        <v>81</v>
      </c>
      <c r="B3" s="103">
        <v>-10000</v>
      </c>
      <c r="C3" s="30" t="s">
        <v>85</v>
      </c>
      <c r="D3" s="16"/>
      <c r="E3" s="16"/>
      <c r="F3" s="16"/>
      <c r="G3" s="103">
        <v>-30000</v>
      </c>
    </row>
    <row r="4" spans="1:8" ht="15.75" thickBot="1" x14ac:dyDescent="0.3">
      <c r="A4" s="107" t="s">
        <v>82</v>
      </c>
      <c r="B4" s="109">
        <f>SUM(B2:B3)</f>
        <v>90000</v>
      </c>
      <c r="C4" s="107" t="s">
        <v>82</v>
      </c>
      <c r="D4" s="108"/>
      <c r="E4" s="108"/>
      <c r="F4" s="108"/>
      <c r="G4" s="109">
        <f>SUM(G2:G3)</f>
        <v>95000</v>
      </c>
    </row>
    <row r="5" spans="1:8" ht="15.75" thickBot="1" x14ac:dyDescent="0.3"/>
    <row r="6" spans="1:8" ht="15.75" thickBot="1" x14ac:dyDescent="0.3">
      <c r="A6" s="110" t="s">
        <v>95</v>
      </c>
      <c r="B6" s="110" t="s">
        <v>96</v>
      </c>
      <c r="C6" s="110" t="s">
        <v>97</v>
      </c>
      <c r="D6" s="110" t="s">
        <v>98</v>
      </c>
      <c r="E6" s="110" t="s">
        <v>99</v>
      </c>
      <c r="F6" s="110" t="s">
        <v>100</v>
      </c>
      <c r="G6" s="111" t="s">
        <v>101</v>
      </c>
    </row>
    <row r="7" spans="1:8" x14ac:dyDescent="0.25">
      <c r="A7" s="101" t="s">
        <v>79</v>
      </c>
      <c r="B7" s="117">
        <v>10</v>
      </c>
      <c r="C7" s="117">
        <v>10</v>
      </c>
      <c r="D7" s="117">
        <v>10</v>
      </c>
      <c r="E7" s="117">
        <v>10</v>
      </c>
      <c r="F7" s="117">
        <v>10</v>
      </c>
      <c r="G7" s="102"/>
      <c r="H7" s="100"/>
    </row>
    <row r="8" spans="1:8" x14ac:dyDescent="0.25">
      <c r="A8" s="30" t="s">
        <v>86</v>
      </c>
      <c r="B8" s="18">
        <v>-7.5</v>
      </c>
      <c r="C8" s="18">
        <v>-7.5</v>
      </c>
      <c r="D8" s="18">
        <v>-7.5</v>
      </c>
      <c r="E8" s="18">
        <v>-7.5</v>
      </c>
      <c r="F8" s="18">
        <v>-7.5</v>
      </c>
      <c r="G8" s="17"/>
    </row>
    <row r="9" spans="1:8" s="2" customFormat="1" x14ac:dyDescent="0.25">
      <c r="A9" s="112" t="s">
        <v>87</v>
      </c>
      <c r="B9" s="14">
        <f>SUM(B7:B8)</f>
        <v>2.5</v>
      </c>
      <c r="C9" s="14">
        <f>SUM(C7:C8)</f>
        <v>2.5</v>
      </c>
      <c r="D9" s="14">
        <f>SUM(D7:D8)</f>
        <v>2.5</v>
      </c>
      <c r="E9" s="14">
        <f>SUM(E7:E8)</f>
        <v>2.5</v>
      </c>
      <c r="F9" s="14">
        <f>SUM(F7:F8)</f>
        <v>2.5</v>
      </c>
      <c r="G9" s="113"/>
    </row>
    <row r="10" spans="1:8" x14ac:dyDescent="0.25">
      <c r="A10" s="30" t="s">
        <v>88</v>
      </c>
      <c r="B10" s="114">
        <v>13200</v>
      </c>
      <c r="C10" s="114">
        <v>13200</v>
      </c>
      <c r="D10" s="114">
        <v>13200</v>
      </c>
      <c r="E10" s="114">
        <v>13200</v>
      </c>
      <c r="F10" s="114">
        <v>13200</v>
      </c>
      <c r="G10" s="17"/>
    </row>
    <row r="11" spans="1:8" s="2" customFormat="1" x14ac:dyDescent="0.25">
      <c r="A11" s="112" t="s">
        <v>89</v>
      </c>
      <c r="B11" s="115">
        <f>+B9*B10</f>
        <v>33000</v>
      </c>
      <c r="C11" s="115">
        <f>+C9*C10</f>
        <v>33000</v>
      </c>
      <c r="D11" s="115">
        <f>+D9*D10</f>
        <v>33000</v>
      </c>
      <c r="E11" s="115">
        <f>+E9*E10</f>
        <v>33000</v>
      </c>
      <c r="F11" s="115">
        <f>+F9*F10</f>
        <v>33000</v>
      </c>
      <c r="G11" s="116">
        <f>SUM(B11:F11)</f>
        <v>165000</v>
      </c>
    </row>
    <row r="12" spans="1:8" x14ac:dyDescent="0.25">
      <c r="A12" s="30" t="s">
        <v>90</v>
      </c>
      <c r="B12" s="114">
        <v>-10000</v>
      </c>
      <c r="C12" s="114">
        <v>-10000</v>
      </c>
      <c r="D12" s="114">
        <v>-10000</v>
      </c>
      <c r="E12" s="114">
        <v>-10000</v>
      </c>
      <c r="F12" s="114">
        <v>-10000</v>
      </c>
      <c r="G12" s="17"/>
    </row>
    <row r="13" spans="1:8" x14ac:dyDescent="0.25">
      <c r="A13" s="30" t="s">
        <v>91</v>
      </c>
      <c r="B13" s="114">
        <v>2000</v>
      </c>
      <c r="C13" s="114">
        <v>2000</v>
      </c>
      <c r="D13" s="114">
        <v>2000</v>
      </c>
      <c r="E13" s="114">
        <v>2000</v>
      </c>
      <c r="F13" s="114">
        <v>2000</v>
      </c>
      <c r="G13" s="17"/>
    </row>
    <row r="14" spans="1:8" s="2" customFormat="1" x14ac:dyDescent="0.25">
      <c r="A14" s="112" t="s">
        <v>92</v>
      </c>
      <c r="B14" s="115">
        <f>SUM(B11:B13)</f>
        <v>25000</v>
      </c>
      <c r="C14" s="115">
        <f>SUM(C11:C13)</f>
        <v>25000</v>
      </c>
      <c r="D14" s="115">
        <f>SUM(D11:D13)</f>
        <v>25000</v>
      </c>
      <c r="E14" s="115">
        <f>SUM(E11:E13)</f>
        <v>25000</v>
      </c>
      <c r="F14" s="115">
        <f>SUM(F11:F13)</f>
        <v>25000</v>
      </c>
      <c r="G14" s="116">
        <f>SUM(B14:F14)</f>
        <v>125000</v>
      </c>
    </row>
    <row r="15" spans="1:8" x14ac:dyDescent="0.25">
      <c r="A15" s="30"/>
      <c r="B15" s="16"/>
      <c r="C15" s="16"/>
      <c r="D15" s="16"/>
      <c r="E15" s="16"/>
      <c r="F15" s="16"/>
      <c r="G15" s="17"/>
    </row>
    <row r="16" spans="1:8" x14ac:dyDescent="0.25">
      <c r="A16" s="30" t="s">
        <v>93</v>
      </c>
      <c r="B16" s="15">
        <v>0.14249999999999999</v>
      </c>
      <c r="C16" s="15">
        <v>0.14249999999999999</v>
      </c>
      <c r="D16" s="15">
        <v>0.14249999999999999</v>
      </c>
      <c r="E16" s="15">
        <v>0.14249999999999999</v>
      </c>
      <c r="F16" s="15">
        <v>0.14249999999999999</v>
      </c>
      <c r="G16" s="17"/>
    </row>
    <row r="17" spans="1:7" ht="15.75" thickBot="1" x14ac:dyDescent="0.3">
      <c r="A17" s="30"/>
      <c r="B17" s="16"/>
      <c r="C17" s="16"/>
      <c r="D17" s="16"/>
      <c r="E17" s="16"/>
      <c r="F17" s="16"/>
      <c r="G17" s="17"/>
    </row>
    <row r="18" spans="1:7" s="2" customFormat="1" ht="15.75" thickBot="1" x14ac:dyDescent="0.3">
      <c r="A18" s="118" t="s">
        <v>94</v>
      </c>
      <c r="B18" s="119">
        <f>+B14/(1+B16)^1</f>
        <v>21881.838074398249</v>
      </c>
      <c r="C18" s="119">
        <f>+C14/(1+C16)^2</f>
        <v>19152.593500567393</v>
      </c>
      <c r="D18" s="119">
        <f>+D14/(1+D16)^3</f>
        <v>16763.75798736752</v>
      </c>
      <c r="E18" s="119">
        <f>+E14/(1+E16)^4</f>
        <v>14672.873511919055</v>
      </c>
      <c r="F18" s="119">
        <f>+F14/(1+F16)^5</f>
        <v>12842.777690957597</v>
      </c>
      <c r="G18" s="120">
        <f>SUM(B18:F18)</f>
        <v>85313.84076520981</v>
      </c>
    </row>
    <row r="19" spans="1:7" ht="15.75" thickBot="1" x14ac:dyDescent="0.3"/>
    <row r="20" spans="1:7" x14ac:dyDescent="0.25">
      <c r="A20" s="104" t="s">
        <v>102</v>
      </c>
      <c r="B20" s="106"/>
      <c r="C20" s="104" t="s">
        <v>104</v>
      </c>
      <c r="D20" s="105"/>
      <c r="E20" s="105"/>
      <c r="F20" s="105"/>
      <c r="G20" s="106"/>
    </row>
    <row r="21" spans="1:7" x14ac:dyDescent="0.25">
      <c r="A21" s="30" t="str">
        <f>+A1</f>
        <v>Preço líquido de venda</v>
      </c>
      <c r="B21" s="103">
        <f>+B4</f>
        <v>90000</v>
      </c>
      <c r="C21" s="30" t="str">
        <f>+C1</f>
        <v>Valor Contábil</v>
      </c>
      <c r="D21" s="16"/>
      <c r="E21" s="16"/>
      <c r="F21" s="16"/>
      <c r="G21" s="103">
        <f>+G4</f>
        <v>95000</v>
      </c>
    </row>
    <row r="22" spans="1:7" x14ac:dyDescent="0.25">
      <c r="A22" s="30" t="str">
        <f>+A6</f>
        <v>Valor em Uso</v>
      </c>
      <c r="B22" s="103">
        <f>+G18</f>
        <v>85313.84076520981</v>
      </c>
      <c r="C22" s="30" t="str">
        <f>+A20</f>
        <v>Valor recuperável</v>
      </c>
      <c r="D22" s="16"/>
      <c r="E22" s="16"/>
      <c r="F22" s="16"/>
      <c r="G22" s="103">
        <f>+B23</f>
        <v>90000</v>
      </c>
    </row>
    <row r="23" spans="1:7" ht="15.75" thickBot="1" x14ac:dyDescent="0.3">
      <c r="A23" s="107" t="s">
        <v>103</v>
      </c>
      <c r="B23" s="109">
        <f>+B21</f>
        <v>90000</v>
      </c>
      <c r="C23" s="107" t="s">
        <v>105</v>
      </c>
      <c r="D23" s="108"/>
      <c r="E23" s="108"/>
      <c r="F23" s="108"/>
      <c r="G23" s="109">
        <f>+G21-G22</f>
        <v>5000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10" workbookViewId="0">
      <selection activeCell="B45" sqref="B45"/>
    </sheetView>
  </sheetViews>
  <sheetFormatPr defaultRowHeight="15" x14ac:dyDescent="0.25"/>
  <cols>
    <col min="1" max="1" width="11.5703125" customWidth="1"/>
    <col min="2" max="2" width="12.140625" customWidth="1"/>
    <col min="3" max="3" width="10.5703125" bestFit="1" customWidth="1"/>
    <col min="4" max="4" width="10.5703125" hidden="1" customWidth="1"/>
    <col min="5" max="6" width="10.5703125" bestFit="1" customWidth="1"/>
    <col min="7" max="7" width="11.7109375" bestFit="1" customWidth="1"/>
    <col min="8" max="8" width="10.5703125" style="3" bestFit="1" customWidth="1"/>
    <col min="9" max="9" width="10.5703125" bestFit="1" customWidth="1"/>
    <col min="10" max="10" width="11.85546875" bestFit="1" customWidth="1"/>
  </cols>
  <sheetData>
    <row r="1" spans="1:10" x14ac:dyDescent="0.25">
      <c r="A1" t="s">
        <v>14</v>
      </c>
      <c r="B1" s="4">
        <v>45000</v>
      </c>
    </row>
    <row r="2" spans="1:10" ht="15.75" thickBot="1" x14ac:dyDescent="0.3">
      <c r="A2" t="s">
        <v>13</v>
      </c>
      <c r="B2" s="5">
        <v>1.4999999999999999E-2</v>
      </c>
    </row>
    <row r="3" spans="1:10" ht="15.75" thickBot="1" x14ac:dyDescent="0.3">
      <c r="A3" t="s">
        <v>12</v>
      </c>
      <c r="B3" s="6">
        <f>NPV($B$2,C7:$C$42)</f>
        <v>41491.026466275973</v>
      </c>
      <c r="G3" s="121" t="s">
        <v>15</v>
      </c>
      <c r="H3" s="122"/>
      <c r="I3" s="122"/>
      <c r="J3" s="123"/>
    </row>
    <row r="4" spans="1:10" s="2" customFormat="1" ht="30" x14ac:dyDescent="0.25">
      <c r="A4" s="7" t="s">
        <v>0</v>
      </c>
      <c r="B4" s="8" t="s">
        <v>11</v>
      </c>
      <c r="C4" s="8" t="s">
        <v>4</v>
      </c>
      <c r="D4" s="8" t="s">
        <v>16</v>
      </c>
      <c r="E4" s="8" t="s">
        <v>5</v>
      </c>
      <c r="F4" s="9" t="s">
        <v>6</v>
      </c>
      <c r="G4" s="25" t="s">
        <v>17</v>
      </c>
      <c r="H4" s="26" t="s">
        <v>18</v>
      </c>
      <c r="I4" s="27"/>
      <c r="J4" s="9" t="s">
        <v>19</v>
      </c>
    </row>
    <row r="5" spans="1:10" s="1" customFormat="1" x14ac:dyDescent="0.25">
      <c r="A5" s="10" t="s">
        <v>1</v>
      </c>
      <c r="B5" s="11" t="s">
        <v>3</v>
      </c>
      <c r="C5" s="11" t="s">
        <v>8</v>
      </c>
      <c r="D5" s="11"/>
      <c r="E5" s="11" t="s">
        <v>9</v>
      </c>
      <c r="F5" s="12" t="s">
        <v>10</v>
      </c>
      <c r="G5" s="10"/>
      <c r="H5" s="28"/>
      <c r="I5" s="11"/>
      <c r="J5" s="29">
        <v>4500</v>
      </c>
    </row>
    <row r="6" spans="1:10" ht="24.75" customHeight="1" x14ac:dyDescent="0.25">
      <c r="A6" s="13" t="s">
        <v>2</v>
      </c>
      <c r="B6" s="14">
        <v>42000</v>
      </c>
      <c r="C6" s="15">
        <f>+B2</f>
        <v>1.4999999999999999E-2</v>
      </c>
      <c r="D6" s="15">
        <v>0.2</v>
      </c>
      <c r="E6" s="16"/>
      <c r="F6" s="17"/>
      <c r="G6" s="30"/>
      <c r="H6" s="18"/>
      <c r="I6" s="16"/>
      <c r="J6" s="31">
        <v>0.2</v>
      </c>
    </row>
    <row r="7" spans="1:10" x14ac:dyDescent="0.25">
      <c r="A7" s="10">
        <v>1</v>
      </c>
      <c r="B7" s="14">
        <f>+B6-F7</f>
        <v>41130</v>
      </c>
      <c r="C7" s="18">
        <v>1500</v>
      </c>
      <c r="D7" s="18">
        <f>+C7*$D$6</f>
        <v>300</v>
      </c>
      <c r="E7" s="18">
        <f t="shared" ref="E7:E42" si="0">+B6*$C$6</f>
        <v>630</v>
      </c>
      <c r="F7" s="19">
        <f>+C7-E7</f>
        <v>870</v>
      </c>
      <c r="G7" s="32">
        <f t="shared" ref="G7:G42" si="1">+C7/(1+$B$2)^A7</f>
        <v>1477.8325123152711</v>
      </c>
      <c r="H7" s="18">
        <f t="shared" ref="H7:H42" si="2">+C7-G7</f>
        <v>22.16748768472894</v>
      </c>
      <c r="I7" s="16"/>
      <c r="J7" s="33">
        <f>+($B$6-$J$5)*$J$6/12</f>
        <v>625</v>
      </c>
    </row>
    <row r="8" spans="1:10" x14ac:dyDescent="0.25">
      <c r="A8" s="10">
        <v>2</v>
      </c>
      <c r="B8" s="14">
        <f t="shared" ref="B8:B42" si="3">+B7-F8</f>
        <v>40246.949999999997</v>
      </c>
      <c r="C8" s="18">
        <v>1500</v>
      </c>
      <c r="D8" s="18">
        <f t="shared" ref="D8:D42" si="4">+C8*$D$6</f>
        <v>300</v>
      </c>
      <c r="E8" s="18">
        <f t="shared" si="0"/>
        <v>616.94999999999993</v>
      </c>
      <c r="F8" s="19">
        <f t="shared" ref="F8:F42" si="5">+C8-E8</f>
        <v>883.05000000000007</v>
      </c>
      <c r="G8" s="32">
        <f t="shared" si="1"/>
        <v>1455.9926229707107</v>
      </c>
      <c r="H8" s="18">
        <f t="shared" si="2"/>
        <v>44.007377029289273</v>
      </c>
      <c r="I8" s="16"/>
      <c r="J8" s="33">
        <f t="shared" ref="J8:J43" si="6">+($B$6-$J$5)*$J$6/12</f>
        <v>625</v>
      </c>
    </row>
    <row r="9" spans="1:10" x14ac:dyDescent="0.25">
      <c r="A9" s="10">
        <v>3</v>
      </c>
      <c r="B9" s="14">
        <f t="shared" si="3"/>
        <v>39350.65425</v>
      </c>
      <c r="C9" s="18">
        <v>1500</v>
      </c>
      <c r="D9" s="18">
        <f t="shared" si="4"/>
        <v>300</v>
      </c>
      <c r="E9" s="18">
        <f t="shared" si="0"/>
        <v>603.70424999999989</v>
      </c>
      <c r="F9" s="19">
        <f t="shared" si="5"/>
        <v>896.29575000000011</v>
      </c>
      <c r="G9" s="32">
        <f t="shared" si="1"/>
        <v>1434.4754906115377</v>
      </c>
      <c r="H9" s="18">
        <f t="shared" si="2"/>
        <v>65.52450938846232</v>
      </c>
      <c r="I9" s="16"/>
      <c r="J9" s="33">
        <f t="shared" si="6"/>
        <v>625</v>
      </c>
    </row>
    <row r="10" spans="1:10" x14ac:dyDescent="0.25">
      <c r="A10" s="10">
        <v>4</v>
      </c>
      <c r="B10" s="14">
        <f t="shared" si="3"/>
        <v>38440.914063750002</v>
      </c>
      <c r="C10" s="18">
        <v>1500</v>
      </c>
      <c r="D10" s="18">
        <f t="shared" si="4"/>
        <v>300</v>
      </c>
      <c r="E10" s="18">
        <f t="shared" si="0"/>
        <v>590.25981374999992</v>
      </c>
      <c r="F10" s="19">
        <f t="shared" si="5"/>
        <v>909.74018625000008</v>
      </c>
      <c r="G10" s="32">
        <f t="shared" si="1"/>
        <v>1413.2763454300866</v>
      </c>
      <c r="H10" s="18">
        <f t="shared" si="2"/>
        <v>86.723654569913379</v>
      </c>
      <c r="I10" s="16"/>
      <c r="J10" s="33">
        <f t="shared" si="6"/>
        <v>625</v>
      </c>
    </row>
    <row r="11" spans="1:10" x14ac:dyDescent="0.25">
      <c r="A11" s="10">
        <v>5</v>
      </c>
      <c r="B11" s="14">
        <f t="shared" si="3"/>
        <v>37517.52777470625</v>
      </c>
      <c r="C11" s="18">
        <v>1500</v>
      </c>
      <c r="D11" s="18">
        <f t="shared" si="4"/>
        <v>300</v>
      </c>
      <c r="E11" s="18">
        <f t="shared" si="0"/>
        <v>576.61371095624997</v>
      </c>
      <c r="F11" s="19">
        <f t="shared" si="5"/>
        <v>923.38628904375003</v>
      </c>
      <c r="G11" s="32">
        <f t="shared" si="1"/>
        <v>1392.39048810846</v>
      </c>
      <c r="H11" s="18">
        <f t="shared" si="2"/>
        <v>107.60951189154002</v>
      </c>
      <c r="I11" s="16"/>
      <c r="J11" s="33">
        <f t="shared" si="6"/>
        <v>625</v>
      </c>
    </row>
    <row r="12" spans="1:10" x14ac:dyDescent="0.25">
      <c r="A12" s="10">
        <v>6</v>
      </c>
      <c r="B12" s="14">
        <f t="shared" si="3"/>
        <v>36580.290691326845</v>
      </c>
      <c r="C12" s="18">
        <v>1500</v>
      </c>
      <c r="D12" s="18">
        <f t="shared" si="4"/>
        <v>300</v>
      </c>
      <c r="E12" s="18">
        <f t="shared" si="0"/>
        <v>562.76291662059373</v>
      </c>
      <c r="F12" s="19">
        <f t="shared" si="5"/>
        <v>937.23708337940627</v>
      </c>
      <c r="G12" s="32">
        <f t="shared" si="1"/>
        <v>1371.8132887768081</v>
      </c>
      <c r="H12" s="18">
        <f t="shared" si="2"/>
        <v>128.18671122319188</v>
      </c>
      <c r="I12" s="16"/>
      <c r="J12" s="33">
        <f t="shared" si="6"/>
        <v>625</v>
      </c>
    </row>
    <row r="13" spans="1:10" x14ac:dyDescent="0.25">
      <c r="A13" s="10">
        <v>7</v>
      </c>
      <c r="B13" s="14">
        <f t="shared" si="3"/>
        <v>35628.995051696751</v>
      </c>
      <c r="C13" s="18">
        <v>1500</v>
      </c>
      <c r="D13" s="18">
        <f t="shared" si="4"/>
        <v>300</v>
      </c>
      <c r="E13" s="18">
        <f t="shared" si="0"/>
        <v>548.7043603699027</v>
      </c>
      <c r="F13" s="19">
        <f t="shared" si="5"/>
        <v>951.2956396300973</v>
      </c>
      <c r="G13" s="32">
        <f t="shared" si="1"/>
        <v>1351.5401859870033</v>
      </c>
      <c r="H13" s="18">
        <f t="shared" si="2"/>
        <v>148.45981401299673</v>
      </c>
      <c r="I13" s="16"/>
      <c r="J13" s="33">
        <f t="shared" si="6"/>
        <v>625</v>
      </c>
    </row>
    <row r="14" spans="1:10" x14ac:dyDescent="0.25">
      <c r="A14" s="10">
        <v>8</v>
      </c>
      <c r="B14" s="14">
        <f t="shared" si="3"/>
        <v>34663.429977472202</v>
      </c>
      <c r="C14" s="18">
        <v>1500</v>
      </c>
      <c r="D14" s="18">
        <f t="shared" si="4"/>
        <v>300</v>
      </c>
      <c r="E14" s="18">
        <f t="shared" si="0"/>
        <v>534.43492577545123</v>
      </c>
      <c r="F14" s="19">
        <f t="shared" si="5"/>
        <v>965.56507422454877</v>
      </c>
      <c r="G14" s="32">
        <f t="shared" si="1"/>
        <v>1331.5666857014812</v>
      </c>
      <c r="H14" s="18">
        <f t="shared" si="2"/>
        <v>168.43331429851878</v>
      </c>
      <c r="I14" s="16"/>
      <c r="J14" s="33">
        <f t="shared" si="6"/>
        <v>625</v>
      </c>
    </row>
    <row r="15" spans="1:10" x14ac:dyDescent="0.25">
      <c r="A15" s="10">
        <v>9</v>
      </c>
      <c r="B15" s="14">
        <f t="shared" si="3"/>
        <v>33683.381427134285</v>
      </c>
      <c r="C15" s="18">
        <v>1500</v>
      </c>
      <c r="D15" s="18">
        <f t="shared" si="4"/>
        <v>300</v>
      </c>
      <c r="E15" s="18">
        <f t="shared" si="0"/>
        <v>519.95144966208306</v>
      </c>
      <c r="F15" s="19">
        <f t="shared" si="5"/>
        <v>980.04855033791694</v>
      </c>
      <c r="G15" s="32">
        <f t="shared" si="1"/>
        <v>1311.8883602970259</v>
      </c>
      <c r="H15" s="18">
        <f t="shared" si="2"/>
        <v>188.11163970297412</v>
      </c>
      <c r="I15" s="16"/>
      <c r="J15" s="33">
        <f t="shared" si="6"/>
        <v>625</v>
      </c>
    </row>
    <row r="16" spans="1:10" x14ac:dyDescent="0.25">
      <c r="A16" s="10">
        <v>10</v>
      </c>
      <c r="B16" s="14">
        <f t="shared" si="3"/>
        <v>32688.632148541299</v>
      </c>
      <c r="C16" s="18">
        <v>1500</v>
      </c>
      <c r="D16" s="18">
        <f t="shared" si="4"/>
        <v>300</v>
      </c>
      <c r="E16" s="18">
        <f t="shared" si="0"/>
        <v>505.25072140701428</v>
      </c>
      <c r="F16" s="19">
        <f t="shared" si="5"/>
        <v>994.74927859298577</v>
      </c>
      <c r="G16" s="32">
        <f t="shared" si="1"/>
        <v>1292.5008475832769</v>
      </c>
      <c r="H16" s="18">
        <f t="shared" si="2"/>
        <v>207.49915241672306</v>
      </c>
      <c r="I16" s="16"/>
      <c r="J16" s="33">
        <f t="shared" si="6"/>
        <v>625</v>
      </c>
    </row>
    <row r="17" spans="1:10" x14ac:dyDescent="0.25">
      <c r="A17" s="10">
        <v>11</v>
      </c>
      <c r="B17" s="14">
        <f t="shared" si="3"/>
        <v>31678.96163076942</v>
      </c>
      <c r="C17" s="18">
        <v>1500</v>
      </c>
      <c r="D17" s="18">
        <f t="shared" si="4"/>
        <v>300</v>
      </c>
      <c r="E17" s="18">
        <f t="shared" si="0"/>
        <v>490.32948222811945</v>
      </c>
      <c r="F17" s="19">
        <f t="shared" si="5"/>
        <v>1009.6705177718806</v>
      </c>
      <c r="G17" s="32">
        <f t="shared" si="1"/>
        <v>1273.399849835741</v>
      </c>
      <c r="H17" s="18">
        <f t="shared" si="2"/>
        <v>226.60015016425905</v>
      </c>
      <c r="I17" s="16"/>
      <c r="J17" s="33">
        <f t="shared" si="6"/>
        <v>625</v>
      </c>
    </row>
    <row r="18" spans="1:10" x14ac:dyDescent="0.25">
      <c r="A18" s="10">
        <v>12</v>
      </c>
      <c r="B18" s="14">
        <f t="shared" si="3"/>
        <v>30654.146055230962</v>
      </c>
      <c r="C18" s="18">
        <v>1500</v>
      </c>
      <c r="D18" s="18">
        <f t="shared" si="4"/>
        <v>300</v>
      </c>
      <c r="E18" s="18">
        <f t="shared" si="0"/>
        <v>475.18442446154125</v>
      </c>
      <c r="F18" s="19">
        <f t="shared" si="5"/>
        <v>1024.8155755384587</v>
      </c>
      <c r="G18" s="32">
        <f t="shared" si="1"/>
        <v>1254.5811328430948</v>
      </c>
      <c r="H18" s="18">
        <f t="shared" si="2"/>
        <v>245.41886715690521</v>
      </c>
      <c r="I18" s="34">
        <f>SUM(H7:H18)</f>
        <v>1638.7421895395028</v>
      </c>
      <c r="J18" s="33">
        <f t="shared" si="6"/>
        <v>625</v>
      </c>
    </row>
    <row r="19" spans="1:10" x14ac:dyDescent="0.25">
      <c r="A19" s="10">
        <v>13</v>
      </c>
      <c r="B19" s="14">
        <f t="shared" si="3"/>
        <v>29613.958246059425</v>
      </c>
      <c r="C19" s="18">
        <v>1500</v>
      </c>
      <c r="D19" s="18">
        <f t="shared" si="4"/>
        <v>300</v>
      </c>
      <c r="E19" s="18">
        <f t="shared" si="0"/>
        <v>459.8121908284644</v>
      </c>
      <c r="F19" s="19">
        <f t="shared" si="5"/>
        <v>1040.1878091715357</v>
      </c>
      <c r="G19" s="32">
        <f t="shared" si="1"/>
        <v>1236.0405249685664</v>
      </c>
      <c r="H19" s="35">
        <f t="shared" si="2"/>
        <v>263.95947503143361</v>
      </c>
      <c r="I19" s="16"/>
      <c r="J19" s="33">
        <f t="shared" si="6"/>
        <v>625</v>
      </c>
    </row>
    <row r="20" spans="1:10" x14ac:dyDescent="0.25">
      <c r="A20" s="10">
        <v>14</v>
      </c>
      <c r="B20" s="14">
        <f t="shared" si="3"/>
        <v>28558.167619750315</v>
      </c>
      <c r="C20" s="18">
        <v>1500</v>
      </c>
      <c r="D20" s="18">
        <f t="shared" si="4"/>
        <v>300</v>
      </c>
      <c r="E20" s="18">
        <f t="shared" si="0"/>
        <v>444.20937369089137</v>
      </c>
      <c r="F20" s="19">
        <f t="shared" si="5"/>
        <v>1055.7906263091086</v>
      </c>
      <c r="G20" s="32">
        <f t="shared" si="1"/>
        <v>1217.7739162251889</v>
      </c>
      <c r="H20" s="18">
        <f t="shared" si="2"/>
        <v>282.22608377481106</v>
      </c>
      <c r="I20" s="16"/>
      <c r="J20" s="33">
        <f t="shared" si="6"/>
        <v>625</v>
      </c>
    </row>
    <row r="21" spans="1:10" x14ac:dyDescent="0.25">
      <c r="A21" s="10">
        <v>15</v>
      </c>
      <c r="B21" s="14">
        <f t="shared" si="3"/>
        <v>27486.540134046569</v>
      </c>
      <c r="C21" s="18">
        <v>1500</v>
      </c>
      <c r="D21" s="18">
        <f t="shared" si="4"/>
        <v>300</v>
      </c>
      <c r="E21" s="18">
        <f t="shared" si="0"/>
        <v>428.37251429625468</v>
      </c>
      <c r="F21" s="19">
        <f t="shared" si="5"/>
        <v>1071.6274857037454</v>
      </c>
      <c r="G21" s="32">
        <f t="shared" si="1"/>
        <v>1199.7772573647183</v>
      </c>
      <c r="H21" s="18">
        <f t="shared" si="2"/>
        <v>300.22274263528175</v>
      </c>
      <c r="I21" s="16"/>
      <c r="J21" s="33">
        <f t="shared" si="6"/>
        <v>625</v>
      </c>
    </row>
    <row r="22" spans="1:10" x14ac:dyDescent="0.25">
      <c r="A22" s="10">
        <v>16</v>
      </c>
      <c r="B22" s="14">
        <f t="shared" si="3"/>
        <v>26398.838236057269</v>
      </c>
      <c r="C22" s="18">
        <v>1500</v>
      </c>
      <c r="D22" s="18">
        <f t="shared" si="4"/>
        <v>300</v>
      </c>
      <c r="E22" s="18">
        <f t="shared" si="0"/>
        <v>412.29810201069853</v>
      </c>
      <c r="F22" s="19">
        <f t="shared" si="5"/>
        <v>1087.7018979893014</v>
      </c>
      <c r="G22" s="32">
        <f t="shared" si="1"/>
        <v>1182.0465589800181</v>
      </c>
      <c r="H22" s="18">
        <f t="shared" si="2"/>
        <v>317.95344101998194</v>
      </c>
      <c r="I22" s="16"/>
      <c r="J22" s="33">
        <f t="shared" si="6"/>
        <v>625</v>
      </c>
    </row>
    <row r="23" spans="1:10" x14ac:dyDescent="0.25">
      <c r="A23" s="10">
        <v>17</v>
      </c>
      <c r="B23" s="14">
        <f t="shared" si="3"/>
        <v>25294.820809598128</v>
      </c>
      <c r="C23" s="18">
        <v>1500</v>
      </c>
      <c r="D23" s="18">
        <f t="shared" si="4"/>
        <v>300</v>
      </c>
      <c r="E23" s="18">
        <f t="shared" si="0"/>
        <v>395.98257354085899</v>
      </c>
      <c r="F23" s="19">
        <f t="shared" si="5"/>
        <v>1104.017426459141</v>
      </c>
      <c r="G23" s="32">
        <f t="shared" si="1"/>
        <v>1164.5778906207076</v>
      </c>
      <c r="H23" s="18">
        <f t="shared" si="2"/>
        <v>335.42210937929235</v>
      </c>
      <c r="I23" s="16"/>
      <c r="J23" s="33">
        <f t="shared" si="6"/>
        <v>625</v>
      </c>
    </row>
    <row r="24" spans="1:10" x14ac:dyDescent="0.25">
      <c r="A24" s="10">
        <v>18</v>
      </c>
      <c r="B24" s="14">
        <f t="shared" si="3"/>
        <v>24174.2431217421</v>
      </c>
      <c r="C24" s="18">
        <v>1500</v>
      </c>
      <c r="D24" s="18">
        <f t="shared" si="4"/>
        <v>300</v>
      </c>
      <c r="E24" s="18">
        <f t="shared" si="0"/>
        <v>379.42231214397191</v>
      </c>
      <c r="F24" s="19">
        <f t="shared" si="5"/>
        <v>1120.5776878560282</v>
      </c>
      <c r="G24" s="32">
        <f t="shared" si="1"/>
        <v>1147.3673799218795</v>
      </c>
      <c r="H24" s="18">
        <f t="shared" si="2"/>
        <v>352.63262007812045</v>
      </c>
      <c r="I24" s="16"/>
      <c r="J24" s="33">
        <f t="shared" si="6"/>
        <v>625</v>
      </c>
    </row>
    <row r="25" spans="1:10" x14ac:dyDescent="0.25">
      <c r="A25" s="10">
        <v>19</v>
      </c>
      <c r="B25" s="14">
        <f t="shared" si="3"/>
        <v>23036.856768568232</v>
      </c>
      <c r="C25" s="18">
        <v>1500</v>
      </c>
      <c r="D25" s="18">
        <f t="shared" si="4"/>
        <v>300</v>
      </c>
      <c r="E25" s="18">
        <f t="shared" si="0"/>
        <v>362.61364682613146</v>
      </c>
      <c r="F25" s="19">
        <f t="shared" si="5"/>
        <v>1137.3863531738684</v>
      </c>
      <c r="G25" s="32">
        <f t="shared" si="1"/>
        <v>1130.4112117456943</v>
      </c>
      <c r="H25" s="18">
        <f t="shared" si="2"/>
        <v>369.58878825430565</v>
      </c>
      <c r="I25" s="16"/>
      <c r="J25" s="33">
        <f t="shared" si="6"/>
        <v>625</v>
      </c>
    </row>
    <row r="26" spans="1:10" x14ac:dyDescent="0.25">
      <c r="A26" s="10">
        <v>20</v>
      </c>
      <c r="B26" s="14">
        <f t="shared" si="3"/>
        <v>21882.409620096754</v>
      </c>
      <c r="C26" s="18">
        <v>1500</v>
      </c>
      <c r="D26" s="18">
        <f t="shared" si="4"/>
        <v>300</v>
      </c>
      <c r="E26" s="18">
        <f t="shared" si="0"/>
        <v>345.55285152852349</v>
      </c>
      <c r="F26" s="19">
        <f t="shared" si="5"/>
        <v>1154.4471484714766</v>
      </c>
      <c r="G26" s="32">
        <f t="shared" si="1"/>
        <v>1113.7056273356598</v>
      </c>
      <c r="H26" s="18">
        <f t="shared" si="2"/>
        <v>386.29437266434024</v>
      </c>
      <c r="I26" s="16"/>
      <c r="J26" s="33">
        <f t="shared" si="6"/>
        <v>625</v>
      </c>
    </row>
    <row r="27" spans="1:10" x14ac:dyDescent="0.25">
      <c r="A27" s="10">
        <v>21</v>
      </c>
      <c r="B27" s="14">
        <f t="shared" si="3"/>
        <v>20710.645764398207</v>
      </c>
      <c r="C27" s="18">
        <v>1500</v>
      </c>
      <c r="D27" s="18">
        <f t="shared" si="4"/>
        <v>300</v>
      </c>
      <c r="E27" s="18">
        <f t="shared" si="0"/>
        <v>328.2361443014513</v>
      </c>
      <c r="F27" s="19">
        <f t="shared" si="5"/>
        <v>1171.7638556985487</v>
      </c>
      <c r="G27" s="32">
        <f t="shared" si="1"/>
        <v>1097.2469234834086</v>
      </c>
      <c r="H27" s="18">
        <f t="shared" si="2"/>
        <v>402.75307651659136</v>
      </c>
      <c r="I27" s="16"/>
      <c r="J27" s="33">
        <f t="shared" si="6"/>
        <v>625</v>
      </c>
    </row>
    <row r="28" spans="1:10" x14ac:dyDescent="0.25">
      <c r="A28" s="10">
        <v>22</v>
      </c>
      <c r="B28" s="14">
        <f t="shared" si="3"/>
        <v>19521.30545086418</v>
      </c>
      <c r="C28" s="18">
        <v>1500</v>
      </c>
      <c r="D28" s="18">
        <f t="shared" si="4"/>
        <v>300</v>
      </c>
      <c r="E28" s="18">
        <f t="shared" si="0"/>
        <v>310.6596864659731</v>
      </c>
      <c r="F28" s="19">
        <f t="shared" si="5"/>
        <v>1189.3403135340268</v>
      </c>
      <c r="G28" s="32">
        <f t="shared" si="1"/>
        <v>1081.031451707792</v>
      </c>
      <c r="H28" s="18">
        <f t="shared" si="2"/>
        <v>418.96854829220797</v>
      </c>
      <c r="I28" s="16"/>
      <c r="J28" s="33">
        <f t="shared" si="6"/>
        <v>625</v>
      </c>
    </row>
    <row r="29" spans="1:10" x14ac:dyDescent="0.25">
      <c r="A29" s="10">
        <v>23</v>
      </c>
      <c r="B29" s="14">
        <f t="shared" si="3"/>
        <v>18314.125032627144</v>
      </c>
      <c r="C29" s="18">
        <v>1500</v>
      </c>
      <c r="D29" s="18">
        <f t="shared" si="4"/>
        <v>300</v>
      </c>
      <c r="E29" s="18">
        <f t="shared" si="0"/>
        <v>292.81958176296268</v>
      </c>
      <c r="F29" s="19">
        <f t="shared" si="5"/>
        <v>1207.1804182370374</v>
      </c>
      <c r="G29" s="32">
        <f t="shared" si="1"/>
        <v>1065.0556174461005</v>
      </c>
      <c r="H29" s="18">
        <f t="shared" si="2"/>
        <v>434.94438255389946</v>
      </c>
      <c r="I29" s="16"/>
      <c r="J29" s="33">
        <f t="shared" si="6"/>
        <v>625</v>
      </c>
    </row>
    <row r="30" spans="1:10" x14ac:dyDescent="0.25">
      <c r="A30" s="10">
        <v>24</v>
      </c>
      <c r="B30" s="14">
        <f t="shared" si="3"/>
        <v>17088.836908116551</v>
      </c>
      <c r="C30" s="18">
        <v>1500</v>
      </c>
      <c r="D30" s="18">
        <f t="shared" si="4"/>
        <v>300</v>
      </c>
      <c r="E30" s="18">
        <f t="shared" si="0"/>
        <v>274.71187548940713</v>
      </c>
      <c r="F30" s="19">
        <f t="shared" si="5"/>
        <v>1225.2881245105928</v>
      </c>
      <c r="G30" s="32">
        <f t="shared" si="1"/>
        <v>1049.3158792572422</v>
      </c>
      <c r="H30" s="18">
        <f t="shared" si="2"/>
        <v>450.68412074275784</v>
      </c>
      <c r="I30" s="16"/>
      <c r="J30" s="33">
        <f t="shared" si="6"/>
        <v>625</v>
      </c>
    </row>
    <row r="31" spans="1:10" x14ac:dyDescent="0.25">
      <c r="A31" s="10">
        <v>25</v>
      </c>
      <c r="B31" s="14">
        <f t="shared" si="3"/>
        <v>15845.1694617383</v>
      </c>
      <c r="C31" s="18">
        <v>1500</v>
      </c>
      <c r="D31" s="18">
        <f t="shared" si="4"/>
        <v>300</v>
      </c>
      <c r="E31" s="18">
        <f t="shared" si="0"/>
        <v>256.33255362174827</v>
      </c>
      <c r="F31" s="19">
        <f t="shared" si="5"/>
        <v>1243.6674463782517</v>
      </c>
      <c r="G31" s="32">
        <f t="shared" si="1"/>
        <v>1033.8087480366919</v>
      </c>
      <c r="H31" s="18">
        <f t="shared" si="2"/>
        <v>466.1912519633081</v>
      </c>
      <c r="I31" s="16"/>
      <c r="J31" s="33">
        <f t="shared" si="6"/>
        <v>625</v>
      </c>
    </row>
    <row r="32" spans="1:10" x14ac:dyDescent="0.25">
      <c r="A32" s="10">
        <v>26</v>
      </c>
      <c r="B32" s="14">
        <f t="shared" si="3"/>
        <v>14582.847003664374</v>
      </c>
      <c r="C32" s="18">
        <v>1500</v>
      </c>
      <c r="D32" s="18">
        <f t="shared" si="4"/>
        <v>300</v>
      </c>
      <c r="E32" s="18">
        <f t="shared" si="0"/>
        <v>237.6775419260745</v>
      </c>
      <c r="F32" s="19">
        <f t="shared" si="5"/>
        <v>1262.3224580739254</v>
      </c>
      <c r="G32" s="32">
        <f t="shared" si="1"/>
        <v>1018.5307862430462</v>
      </c>
      <c r="H32" s="18">
        <f t="shared" si="2"/>
        <v>481.46921375695376</v>
      </c>
      <c r="I32" s="16"/>
      <c r="J32" s="33">
        <f t="shared" si="6"/>
        <v>625</v>
      </c>
    </row>
    <row r="33" spans="1:10" x14ac:dyDescent="0.25">
      <c r="A33" s="10">
        <v>27</v>
      </c>
      <c r="B33" s="14">
        <f t="shared" si="3"/>
        <v>13301.589708719339</v>
      </c>
      <c r="C33" s="18">
        <v>1500</v>
      </c>
      <c r="D33" s="18">
        <f t="shared" si="4"/>
        <v>300</v>
      </c>
      <c r="E33" s="18">
        <f t="shared" si="0"/>
        <v>218.7427050549656</v>
      </c>
      <c r="F33" s="19">
        <f t="shared" si="5"/>
        <v>1281.2572949450343</v>
      </c>
      <c r="G33" s="32">
        <f t="shared" si="1"/>
        <v>1003.4786071360063</v>
      </c>
      <c r="H33" s="18">
        <f t="shared" si="2"/>
        <v>496.5213928639937</v>
      </c>
      <c r="I33" s="16"/>
      <c r="J33" s="33">
        <f t="shared" si="6"/>
        <v>625</v>
      </c>
    </row>
    <row r="34" spans="1:10" x14ac:dyDescent="0.25">
      <c r="A34" s="10">
        <v>28</v>
      </c>
      <c r="B34" s="14">
        <f t="shared" si="3"/>
        <v>12001.11355435013</v>
      </c>
      <c r="C34" s="18">
        <v>1500</v>
      </c>
      <c r="D34" s="18">
        <f t="shared" si="4"/>
        <v>300</v>
      </c>
      <c r="E34" s="18">
        <f t="shared" si="0"/>
        <v>199.52384563079008</v>
      </c>
      <c r="F34" s="19">
        <f t="shared" si="5"/>
        <v>1300.47615436921</v>
      </c>
      <c r="G34" s="32">
        <f t="shared" si="1"/>
        <v>988.64887402562226</v>
      </c>
      <c r="H34" s="18">
        <f t="shared" si="2"/>
        <v>511.35112597437774</v>
      </c>
      <c r="I34" s="16"/>
      <c r="J34" s="33">
        <f t="shared" si="6"/>
        <v>625</v>
      </c>
    </row>
    <row r="35" spans="1:10" x14ac:dyDescent="0.25">
      <c r="A35" s="10">
        <v>29</v>
      </c>
      <c r="B35" s="14">
        <f t="shared" si="3"/>
        <v>10681.130257665382</v>
      </c>
      <c r="C35" s="18">
        <v>1500</v>
      </c>
      <c r="D35" s="18">
        <f t="shared" si="4"/>
        <v>300</v>
      </c>
      <c r="E35" s="18">
        <f t="shared" si="0"/>
        <v>180.01670331525193</v>
      </c>
      <c r="F35" s="19">
        <f t="shared" si="5"/>
        <v>1319.983296684748</v>
      </c>
      <c r="G35" s="32">
        <f t="shared" si="1"/>
        <v>974.03829953263278</v>
      </c>
      <c r="H35" s="18">
        <f t="shared" si="2"/>
        <v>525.96170046736722</v>
      </c>
      <c r="I35" s="16"/>
      <c r="J35" s="33">
        <f t="shared" si="6"/>
        <v>625</v>
      </c>
    </row>
    <row r="36" spans="1:10" x14ac:dyDescent="0.25">
      <c r="A36" s="10">
        <v>30</v>
      </c>
      <c r="B36" s="14">
        <f t="shared" si="3"/>
        <v>9341.347211530363</v>
      </c>
      <c r="C36" s="18">
        <v>1500</v>
      </c>
      <c r="D36" s="18">
        <f t="shared" si="4"/>
        <v>300</v>
      </c>
      <c r="E36" s="18">
        <f t="shared" si="0"/>
        <v>160.21695386498072</v>
      </c>
      <c r="F36" s="19">
        <f t="shared" si="5"/>
        <v>1339.7830461350193</v>
      </c>
      <c r="G36" s="32">
        <f t="shared" si="1"/>
        <v>959.64364485973692</v>
      </c>
      <c r="H36" s="18">
        <f t="shared" si="2"/>
        <v>540.35635514026308</v>
      </c>
      <c r="I36" s="16"/>
      <c r="J36" s="33">
        <f t="shared" si="6"/>
        <v>625</v>
      </c>
    </row>
    <row r="37" spans="1:10" x14ac:dyDescent="0.25">
      <c r="A37" s="10">
        <v>31</v>
      </c>
      <c r="B37" s="14">
        <f t="shared" si="3"/>
        <v>7981.4674197033182</v>
      </c>
      <c r="C37" s="18">
        <v>1500</v>
      </c>
      <c r="D37" s="18">
        <f t="shared" si="4"/>
        <v>300</v>
      </c>
      <c r="E37" s="18">
        <f t="shared" si="0"/>
        <v>140.12020817295544</v>
      </c>
      <c r="F37" s="19">
        <f t="shared" si="5"/>
        <v>1359.8797918270445</v>
      </c>
      <c r="G37" s="32">
        <f t="shared" si="1"/>
        <v>945.46171907363259</v>
      </c>
      <c r="H37" s="18">
        <f t="shared" si="2"/>
        <v>554.53828092636741</v>
      </c>
      <c r="I37" s="16"/>
      <c r="J37" s="33">
        <f t="shared" si="6"/>
        <v>625</v>
      </c>
    </row>
    <row r="38" spans="1:10" x14ac:dyDescent="0.25">
      <c r="A38" s="10">
        <v>32</v>
      </c>
      <c r="B38" s="14">
        <f t="shared" si="3"/>
        <v>6601.1894309988675</v>
      </c>
      <c r="C38" s="18">
        <v>1500</v>
      </c>
      <c r="D38" s="18">
        <f t="shared" si="4"/>
        <v>300</v>
      </c>
      <c r="E38" s="18">
        <f t="shared" si="0"/>
        <v>119.72201129554976</v>
      </c>
      <c r="F38" s="19">
        <f t="shared" si="5"/>
        <v>1380.2779887044503</v>
      </c>
      <c r="G38" s="32">
        <f t="shared" si="1"/>
        <v>931.48937839766768</v>
      </c>
      <c r="H38" s="18">
        <f t="shared" si="2"/>
        <v>568.51062160233232</v>
      </c>
      <c r="I38" s="16"/>
      <c r="J38" s="33">
        <f t="shared" si="6"/>
        <v>625</v>
      </c>
    </row>
    <row r="39" spans="1:10" x14ac:dyDescent="0.25">
      <c r="A39" s="10">
        <v>33</v>
      </c>
      <c r="B39" s="14">
        <f t="shared" si="3"/>
        <v>5200.207272463851</v>
      </c>
      <c r="C39" s="18">
        <v>1500</v>
      </c>
      <c r="D39" s="18">
        <f t="shared" si="4"/>
        <v>300</v>
      </c>
      <c r="E39" s="18">
        <f t="shared" si="0"/>
        <v>99.017841464983007</v>
      </c>
      <c r="F39" s="19">
        <f t="shared" si="5"/>
        <v>1400.9821585350169</v>
      </c>
      <c r="G39" s="32">
        <f t="shared" si="1"/>
        <v>917.72352551494362</v>
      </c>
      <c r="H39" s="18">
        <f t="shared" si="2"/>
        <v>582.27647448505638</v>
      </c>
      <c r="I39" s="16"/>
      <c r="J39" s="33">
        <f t="shared" si="6"/>
        <v>625</v>
      </c>
    </row>
    <row r="40" spans="1:10" x14ac:dyDescent="0.25">
      <c r="A40" s="10">
        <v>34</v>
      </c>
      <c r="B40" s="14">
        <f t="shared" si="3"/>
        <v>3778.210381550809</v>
      </c>
      <c r="C40" s="18">
        <v>1500</v>
      </c>
      <c r="D40" s="18">
        <f t="shared" si="4"/>
        <v>300</v>
      </c>
      <c r="E40" s="18">
        <f t="shared" si="0"/>
        <v>78.003109086957764</v>
      </c>
      <c r="F40" s="19">
        <f t="shared" si="5"/>
        <v>1421.9968909130423</v>
      </c>
      <c r="G40" s="32">
        <f t="shared" si="1"/>
        <v>904.16110888171806</v>
      </c>
      <c r="H40" s="18">
        <f t="shared" si="2"/>
        <v>595.83889111828194</v>
      </c>
      <c r="I40" s="16"/>
      <c r="J40" s="33">
        <f t="shared" si="6"/>
        <v>625</v>
      </c>
    </row>
    <row r="41" spans="1:10" x14ac:dyDescent="0.25">
      <c r="A41" s="10">
        <v>35</v>
      </c>
      <c r="B41" s="14">
        <f t="shared" si="3"/>
        <v>2334.8835372740714</v>
      </c>
      <c r="C41" s="18">
        <v>1500</v>
      </c>
      <c r="D41" s="18">
        <f t="shared" si="4"/>
        <v>300</v>
      </c>
      <c r="E41" s="18">
        <f t="shared" si="0"/>
        <v>56.673155723262134</v>
      </c>
      <c r="F41" s="19">
        <f t="shared" si="5"/>
        <v>1443.3268442767378</v>
      </c>
      <c r="G41" s="32">
        <f t="shared" si="1"/>
        <v>890.79912205095377</v>
      </c>
      <c r="H41" s="18">
        <f t="shared" si="2"/>
        <v>609.20087794904623</v>
      </c>
      <c r="I41" s="16"/>
      <c r="J41" s="33">
        <f t="shared" si="6"/>
        <v>625</v>
      </c>
    </row>
    <row r="42" spans="1:10" x14ac:dyDescent="0.25">
      <c r="A42" s="10">
        <v>36</v>
      </c>
      <c r="B42" s="14">
        <f t="shared" si="3"/>
        <v>869.90679033318247</v>
      </c>
      <c r="C42" s="18">
        <v>1500</v>
      </c>
      <c r="D42" s="18">
        <f t="shared" si="4"/>
        <v>300</v>
      </c>
      <c r="E42" s="18">
        <f t="shared" si="0"/>
        <v>35.02325305911107</v>
      </c>
      <c r="F42" s="19">
        <f t="shared" si="5"/>
        <v>1464.9767469408889</v>
      </c>
      <c r="G42" s="32">
        <f t="shared" si="1"/>
        <v>877.63460300586587</v>
      </c>
      <c r="H42" s="18">
        <f t="shared" si="2"/>
        <v>622.36539699413413</v>
      </c>
      <c r="I42" s="34">
        <f>SUM(H19:H42)</f>
        <v>10870.231344184504</v>
      </c>
      <c r="J42" s="33">
        <f t="shared" si="6"/>
        <v>625</v>
      </c>
    </row>
    <row r="43" spans="1:10" ht="15.75" thickBot="1" x14ac:dyDescent="0.3">
      <c r="A43" s="20" t="s">
        <v>7</v>
      </c>
      <c r="B43" s="21"/>
      <c r="C43" s="22">
        <f t="shared" ref="C43:H43" si="7">SUM(C7:C42)</f>
        <v>54000</v>
      </c>
      <c r="D43" s="22">
        <f t="shared" si="7"/>
        <v>10800</v>
      </c>
      <c r="E43" s="23">
        <f t="shared" si="7"/>
        <v>12869.906790333176</v>
      </c>
      <c r="F43" s="24">
        <f t="shared" si="7"/>
        <v>41130.093209666826</v>
      </c>
      <c r="G43" s="36">
        <f t="shared" si="7"/>
        <v>41491.026466275987</v>
      </c>
      <c r="H43" s="22">
        <f t="shared" si="7"/>
        <v>12508.973533724005</v>
      </c>
      <c r="I43" s="21"/>
      <c r="J43" s="24">
        <f t="shared" si="6"/>
        <v>625</v>
      </c>
    </row>
    <row r="44" spans="1:10" x14ac:dyDescent="0.25">
      <c r="J44" s="3"/>
    </row>
    <row r="45" spans="1:10" x14ac:dyDescent="0.25">
      <c r="J45" s="3"/>
    </row>
    <row r="46" spans="1:10" x14ac:dyDescent="0.25">
      <c r="J46" s="3"/>
    </row>
    <row r="47" spans="1:10" x14ac:dyDescent="0.25">
      <c r="J47" s="3"/>
    </row>
    <row r="48" spans="1:10" x14ac:dyDescent="0.25">
      <c r="J48" s="3"/>
    </row>
    <row r="49" spans="10:10" x14ac:dyDescent="0.25">
      <c r="J49" s="3"/>
    </row>
    <row r="50" spans="10:10" x14ac:dyDescent="0.25">
      <c r="J50" s="3"/>
    </row>
    <row r="51" spans="10:10" x14ac:dyDescent="0.25">
      <c r="J51" s="3"/>
    </row>
    <row r="52" spans="10:10" x14ac:dyDescent="0.25">
      <c r="J52" s="3"/>
    </row>
    <row r="53" spans="10:10" x14ac:dyDescent="0.25">
      <c r="J53" s="3"/>
    </row>
    <row r="54" spans="10:10" x14ac:dyDescent="0.25">
      <c r="J54" s="3"/>
    </row>
    <row r="55" spans="10:10" x14ac:dyDescent="0.25">
      <c r="J55" s="3"/>
    </row>
    <row r="56" spans="10:10" x14ac:dyDescent="0.25">
      <c r="J56" s="3"/>
    </row>
    <row r="57" spans="10:10" x14ac:dyDescent="0.25">
      <c r="J57" s="3"/>
    </row>
    <row r="58" spans="10:10" x14ac:dyDescent="0.25">
      <c r="J58" s="3"/>
    </row>
    <row r="59" spans="10:10" x14ac:dyDescent="0.25">
      <c r="J59" s="3"/>
    </row>
    <row r="60" spans="10:10" x14ac:dyDescent="0.25">
      <c r="J60" s="3"/>
    </row>
    <row r="61" spans="10:10" x14ac:dyDescent="0.25">
      <c r="J61" s="3"/>
    </row>
    <row r="62" spans="10:10" x14ac:dyDescent="0.25">
      <c r="J62" s="3"/>
    </row>
    <row r="63" spans="10:10" x14ac:dyDescent="0.25">
      <c r="J63" s="3"/>
    </row>
    <row r="64" spans="10:10" x14ac:dyDescent="0.25">
      <c r="J64" s="3"/>
    </row>
    <row r="65" spans="10:10" x14ac:dyDescent="0.25">
      <c r="J65" s="3"/>
    </row>
    <row r="66" spans="10:10" x14ac:dyDescent="0.25">
      <c r="J66" s="3"/>
    </row>
    <row r="67" spans="10:10" x14ac:dyDescent="0.25">
      <c r="J67" s="3"/>
    </row>
    <row r="68" spans="10:10" x14ac:dyDescent="0.25">
      <c r="J68" s="4"/>
    </row>
  </sheetData>
  <mergeCells count="1">
    <mergeCell ref="G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opLeftCell="A25" zoomScale="90" zoomScaleNormal="90" workbookViewId="0">
      <selection activeCell="I34" sqref="I34"/>
    </sheetView>
  </sheetViews>
  <sheetFormatPr defaultColWidth="10.85546875" defaultRowHeight="15" x14ac:dyDescent="0.25"/>
  <cols>
    <col min="1" max="1" width="3.7109375" style="51" customWidth="1"/>
    <col min="2" max="2" width="26.42578125" style="52" customWidth="1"/>
    <col min="3" max="8" width="15.7109375" style="52" customWidth="1"/>
    <col min="9" max="9" width="27.28515625" style="52" customWidth="1"/>
    <col min="10" max="15" width="15.7109375" style="52" customWidth="1"/>
    <col min="16" max="16384" width="10.85546875" style="51"/>
  </cols>
  <sheetData>
    <row r="1" spans="1:15" ht="50.1" customHeight="1" x14ac:dyDescent="0.2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5">
      <c r="B2" s="96"/>
      <c r="C2" s="94" t="str">
        <f>[9]DRE!G2</f>
        <v>07/10 a 07/11</v>
      </c>
      <c r="D2" s="93" t="str">
        <f>[9]DRE!H2</f>
        <v>ANO 1</v>
      </c>
      <c r="E2" s="93" t="str">
        <f>[9]DRE!I2</f>
        <v>ANO 2</v>
      </c>
      <c r="F2" s="93" t="str">
        <f>[9]DRE!J2</f>
        <v>ANO 3</v>
      </c>
      <c r="G2" s="93" t="str">
        <f>[9]DRE!K2</f>
        <v>ANO 4</v>
      </c>
      <c r="H2" s="93" t="str">
        <f>[9]DRE!L2</f>
        <v>ANO 5</v>
      </c>
      <c r="I2" s="95"/>
      <c r="J2" s="94" t="str">
        <f t="shared" ref="J2:O2" si="0">+C2</f>
        <v>07/10 a 07/11</v>
      </c>
      <c r="K2" s="93" t="str">
        <f t="shared" si="0"/>
        <v>ANO 1</v>
      </c>
      <c r="L2" s="93" t="str">
        <f t="shared" si="0"/>
        <v>ANO 2</v>
      </c>
      <c r="M2" s="93" t="str">
        <f t="shared" si="0"/>
        <v>ANO 3</v>
      </c>
      <c r="N2" s="93" t="str">
        <f t="shared" si="0"/>
        <v>ANO 4</v>
      </c>
      <c r="O2" s="93" t="str">
        <f t="shared" si="0"/>
        <v>ANO 5</v>
      </c>
    </row>
    <row r="3" spans="1:15" x14ac:dyDescent="0.25">
      <c r="B3" s="82" t="s">
        <v>76</v>
      </c>
      <c r="C3" s="92"/>
      <c r="D3" s="91"/>
      <c r="E3" s="90"/>
      <c r="F3" s="91"/>
      <c r="G3" s="90"/>
      <c r="H3" s="90"/>
      <c r="I3" s="82" t="s">
        <v>75</v>
      </c>
      <c r="J3" s="92"/>
      <c r="K3" s="91"/>
      <c r="L3" s="90"/>
      <c r="M3" s="91"/>
      <c r="N3" s="90"/>
      <c r="O3" s="90"/>
    </row>
    <row r="4" spans="1:15" x14ac:dyDescent="0.25">
      <c r="B4" s="82" t="s">
        <v>74</v>
      </c>
      <c r="C4" s="81"/>
      <c r="D4" s="81"/>
      <c r="E4" s="81"/>
      <c r="F4" s="81"/>
      <c r="G4" s="81"/>
      <c r="H4" s="81"/>
      <c r="I4" s="82" t="s">
        <v>74</v>
      </c>
      <c r="J4" s="81"/>
      <c r="K4" s="81"/>
      <c r="L4" s="81"/>
      <c r="M4" s="81"/>
      <c r="N4" s="81"/>
      <c r="O4" s="81"/>
    </row>
    <row r="5" spans="1:15" x14ac:dyDescent="0.25">
      <c r="B5" s="77" t="s">
        <v>73</v>
      </c>
      <c r="C5" s="85">
        <v>23357.55</v>
      </c>
      <c r="D5" s="85">
        <v>26449.03</v>
      </c>
      <c r="E5" s="85">
        <v>15927.58</v>
      </c>
      <c r="F5" s="85">
        <f>26394.17+81.36</f>
        <v>26475.53</v>
      </c>
      <c r="G5" s="85">
        <f>35006.83+959.54</f>
        <v>35966.370000000003</v>
      </c>
      <c r="H5" s="85">
        <f>72717.51+959.54</f>
        <v>73677.049999999988</v>
      </c>
      <c r="I5" s="77" t="s">
        <v>72</v>
      </c>
      <c r="J5" s="85">
        <v>2114.11</v>
      </c>
      <c r="K5" s="85">
        <v>4126.884</v>
      </c>
      <c r="L5" s="85">
        <v>5712.3324000000002</v>
      </c>
      <c r="M5" s="85">
        <v>6729.0568900000007</v>
      </c>
      <c r="N5" s="85">
        <v>7932.5953790000012</v>
      </c>
      <c r="O5" s="85">
        <v>9362.6142769000016</v>
      </c>
    </row>
    <row r="6" spans="1:15" x14ac:dyDescent="0.25">
      <c r="B6" s="77" t="s">
        <v>71</v>
      </c>
      <c r="C6" s="85">
        <v>8391.51</v>
      </c>
      <c r="D6" s="85">
        <v>12587.264999999999</v>
      </c>
      <c r="E6" s="85">
        <v>16363.444499999998</v>
      </c>
      <c r="F6" s="85">
        <v>19636.133399999995</v>
      </c>
      <c r="G6" s="85">
        <v>23563.360079999995</v>
      </c>
      <c r="H6" s="85">
        <v>28276.032095999992</v>
      </c>
      <c r="I6" s="77" t="s">
        <v>60</v>
      </c>
      <c r="J6" s="85">
        <v>0</v>
      </c>
      <c r="K6" s="81">
        <v>51376.041666666672</v>
      </c>
      <c r="L6" s="85">
        <v>34713.541666666657</v>
      </c>
      <c r="M6" s="81">
        <v>18051.041666666657</v>
      </c>
      <c r="N6" s="81">
        <v>1388.5416666666592</v>
      </c>
      <c r="O6" s="81">
        <v>0</v>
      </c>
    </row>
    <row r="7" spans="1:15" x14ac:dyDescent="0.25">
      <c r="B7" s="77" t="s">
        <v>70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77" t="s">
        <v>69</v>
      </c>
      <c r="J7" s="85">
        <v>1258.7265</v>
      </c>
      <c r="K7" s="85">
        <v>3146.8162499999999</v>
      </c>
      <c r="L7" s="85">
        <v>4090.8611249999994</v>
      </c>
      <c r="M7" s="85">
        <v>4909.0333499999988</v>
      </c>
      <c r="N7" s="85">
        <v>5890.8400199999987</v>
      </c>
      <c r="O7" s="85">
        <v>7069.0080239999979</v>
      </c>
    </row>
    <row r="8" spans="1:15" x14ac:dyDescent="0.25">
      <c r="B8" s="77" t="s">
        <v>63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77" t="s">
        <v>68</v>
      </c>
      <c r="J8" s="89">
        <v>2000</v>
      </c>
      <c r="K8" s="89">
        <v>3125</v>
      </c>
      <c r="L8" s="89">
        <v>3750</v>
      </c>
      <c r="M8" s="89">
        <v>3750</v>
      </c>
      <c r="N8" s="89">
        <v>5000</v>
      </c>
      <c r="O8" s="89">
        <v>6250</v>
      </c>
    </row>
    <row r="9" spans="1:15" x14ac:dyDescent="0.25">
      <c r="B9" s="77" t="s">
        <v>67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77" t="s">
        <v>66</v>
      </c>
      <c r="J9" s="89">
        <v>2788.0022159999971</v>
      </c>
      <c r="K9" s="89">
        <v>0</v>
      </c>
      <c r="L9" s="89">
        <v>189.85830863999831</v>
      </c>
      <c r="M9" s="89">
        <v>4818.3147335999911</v>
      </c>
      <c r="N9" s="89">
        <v>6312.0641779679827</v>
      </c>
      <c r="O9" s="89">
        <v>9847.164459513584</v>
      </c>
    </row>
    <row r="10" spans="1:15" x14ac:dyDescent="0.25">
      <c r="B10" s="77"/>
      <c r="C10" s="81">
        <f t="shared" ref="C10:H10" si="1">SUM(C4:C9)</f>
        <v>31749.059999999998</v>
      </c>
      <c r="D10" s="81">
        <f t="shared" si="1"/>
        <v>39036.294999999998</v>
      </c>
      <c r="E10" s="81">
        <f t="shared" si="1"/>
        <v>32291.0245</v>
      </c>
      <c r="F10" s="81">
        <f t="shared" si="1"/>
        <v>46111.66339999999</v>
      </c>
      <c r="G10" s="81">
        <f t="shared" si="1"/>
        <v>59529.730079999994</v>
      </c>
      <c r="H10" s="81">
        <f t="shared" si="1"/>
        <v>101953.08209599998</v>
      </c>
      <c r="I10" s="77" t="s">
        <v>65</v>
      </c>
      <c r="J10" s="99">
        <v>776.21467500000006</v>
      </c>
      <c r="K10" s="87">
        <v>1164.3220124999998</v>
      </c>
      <c r="L10" s="87">
        <v>1513.6186162499998</v>
      </c>
      <c r="M10" s="87">
        <v>1816.3423394999998</v>
      </c>
      <c r="N10" s="87">
        <v>2179.6108073999994</v>
      </c>
      <c r="O10" s="87">
        <v>2615.5329688799989</v>
      </c>
    </row>
    <row r="11" spans="1:15" x14ac:dyDescent="0.25">
      <c r="B11" s="77"/>
      <c r="C11" s="88"/>
      <c r="D11" s="88"/>
      <c r="E11" s="88"/>
      <c r="F11" s="88"/>
      <c r="G11" s="88"/>
      <c r="H11" s="88"/>
      <c r="I11" s="77"/>
      <c r="J11" s="81">
        <f t="shared" ref="J11:O11" si="2">SUM(J4:J10)</f>
        <v>8937.0533909999976</v>
      </c>
      <c r="K11" s="81">
        <f t="shared" si="2"/>
        <v>62939.063929166667</v>
      </c>
      <c r="L11" s="81">
        <f t="shared" si="2"/>
        <v>49970.21211655665</v>
      </c>
      <c r="M11" s="81">
        <f t="shared" si="2"/>
        <v>40073.788979766643</v>
      </c>
      <c r="N11" s="81">
        <f t="shared" si="2"/>
        <v>28703.652051034642</v>
      </c>
      <c r="O11" s="81">
        <f t="shared" si="2"/>
        <v>35144.31972929358</v>
      </c>
    </row>
    <row r="12" spans="1:15" x14ac:dyDescent="0.25">
      <c r="B12" s="82" t="s">
        <v>64</v>
      </c>
      <c r="C12" s="80"/>
      <c r="D12" s="80"/>
      <c r="E12" s="80"/>
      <c r="F12" s="80"/>
      <c r="G12" s="80"/>
      <c r="H12" s="80"/>
      <c r="I12" s="77"/>
      <c r="J12" s="88"/>
      <c r="K12" s="88"/>
      <c r="L12" s="88"/>
      <c r="M12" s="88"/>
      <c r="N12" s="88"/>
      <c r="O12" s="88"/>
    </row>
    <row r="13" spans="1:15" x14ac:dyDescent="0.25">
      <c r="B13" s="52" t="s">
        <v>63</v>
      </c>
      <c r="C13" s="85"/>
      <c r="D13" s="81"/>
      <c r="E13" s="85"/>
      <c r="F13" s="81"/>
      <c r="G13" s="81"/>
      <c r="H13" s="81"/>
      <c r="I13" s="82" t="s">
        <v>62</v>
      </c>
      <c r="J13" s="81"/>
      <c r="K13" s="81"/>
      <c r="L13" s="81"/>
      <c r="M13" s="81"/>
      <c r="N13" s="81"/>
      <c r="O13" s="81"/>
    </row>
    <row r="14" spans="1:15" x14ac:dyDescent="0.25">
      <c r="B14" s="52" t="s">
        <v>61</v>
      </c>
      <c r="C14" s="85"/>
      <c r="D14" s="81"/>
      <c r="E14" s="85"/>
      <c r="F14" s="81"/>
      <c r="G14" s="81"/>
      <c r="H14" s="81"/>
      <c r="I14" s="77" t="s">
        <v>60</v>
      </c>
      <c r="J14" s="85"/>
      <c r="K14" s="81"/>
      <c r="L14" s="85"/>
      <c r="M14" s="81"/>
      <c r="N14" s="81"/>
      <c r="O14" s="81"/>
    </row>
    <row r="15" spans="1:15" x14ac:dyDescent="0.25">
      <c r="B15" s="77" t="s">
        <v>59</v>
      </c>
      <c r="C15" s="86"/>
      <c r="D15" s="86"/>
      <c r="E15" s="86"/>
      <c r="F15" s="86"/>
      <c r="G15" s="86"/>
      <c r="H15" s="86"/>
      <c r="I15" s="77" t="s">
        <v>58</v>
      </c>
      <c r="J15" s="85"/>
      <c r="K15" s="81"/>
      <c r="L15" s="85"/>
      <c r="M15" s="81"/>
      <c r="N15" s="81"/>
      <c r="O15" s="81"/>
    </row>
    <row r="16" spans="1:15" x14ac:dyDescent="0.25">
      <c r="B16" s="77"/>
      <c r="C16" s="81">
        <f t="shared" ref="C16:H16" si="3">SUM(C13:C15)</f>
        <v>0</v>
      </c>
      <c r="D16" s="81">
        <f t="shared" si="3"/>
        <v>0</v>
      </c>
      <c r="E16" s="81">
        <f t="shared" si="3"/>
        <v>0</v>
      </c>
      <c r="F16" s="81">
        <f t="shared" si="3"/>
        <v>0</v>
      </c>
      <c r="G16" s="81">
        <f t="shared" si="3"/>
        <v>0</v>
      </c>
      <c r="H16" s="81">
        <f t="shared" si="3"/>
        <v>0</v>
      </c>
      <c r="I16" s="77" t="s">
        <v>57</v>
      </c>
      <c r="J16" s="87"/>
      <c r="K16" s="87"/>
      <c r="L16" s="87"/>
      <c r="M16" s="87"/>
      <c r="N16" s="87"/>
      <c r="O16" s="87"/>
    </row>
    <row r="17" spans="2:15" x14ac:dyDescent="0.25">
      <c r="B17" s="77"/>
      <c r="C17" s="81"/>
      <c r="D17" s="81"/>
      <c r="E17" s="81"/>
      <c r="F17" s="81"/>
      <c r="G17" s="81"/>
      <c r="H17" s="81"/>
      <c r="I17" s="77"/>
      <c r="J17" s="81">
        <f t="shared" ref="J17:O17" si="4">SUM(J14:J16)</f>
        <v>0</v>
      </c>
      <c r="K17" s="81">
        <f t="shared" si="4"/>
        <v>0</v>
      </c>
      <c r="L17" s="81">
        <f t="shared" si="4"/>
        <v>0</v>
      </c>
      <c r="M17" s="81">
        <f t="shared" si="4"/>
        <v>0</v>
      </c>
      <c r="N17" s="81">
        <f t="shared" si="4"/>
        <v>0</v>
      </c>
      <c r="O17" s="81">
        <f t="shared" si="4"/>
        <v>0</v>
      </c>
    </row>
    <row r="18" spans="2:15" x14ac:dyDescent="0.25">
      <c r="B18" s="82" t="s">
        <v>56</v>
      </c>
      <c r="C18" s="81"/>
      <c r="D18" s="81"/>
      <c r="E18" s="81"/>
      <c r="F18" s="81"/>
      <c r="G18" s="81"/>
      <c r="H18" s="81"/>
      <c r="I18" s="82" t="s">
        <v>55</v>
      </c>
      <c r="J18" s="81"/>
      <c r="K18" s="81"/>
      <c r="L18" s="81"/>
      <c r="M18" s="81"/>
      <c r="N18" s="81"/>
      <c r="O18" s="81"/>
    </row>
    <row r="19" spans="2:15" x14ac:dyDescent="0.25">
      <c r="B19" s="77" t="s">
        <v>46</v>
      </c>
      <c r="C19" s="98">
        <v>1500</v>
      </c>
      <c r="D19" s="85">
        <v>49500</v>
      </c>
      <c r="E19" s="85">
        <v>49500</v>
      </c>
      <c r="F19" s="85">
        <v>49500</v>
      </c>
      <c r="G19" s="85">
        <v>49500</v>
      </c>
      <c r="H19" s="85">
        <v>49500</v>
      </c>
      <c r="I19" s="77" t="s">
        <v>39</v>
      </c>
      <c r="J19" s="85">
        <v>15000</v>
      </c>
      <c r="K19" s="85">
        <v>15000</v>
      </c>
      <c r="L19" s="85">
        <v>15000</v>
      </c>
      <c r="M19" s="85">
        <v>15000</v>
      </c>
      <c r="N19" s="85">
        <v>15000</v>
      </c>
      <c r="O19" s="85">
        <v>15000</v>
      </c>
    </row>
    <row r="20" spans="2:15" x14ac:dyDescent="0.25">
      <c r="B20" s="77" t="s">
        <v>45</v>
      </c>
      <c r="C20" s="86">
        <v>-483.33</v>
      </c>
      <c r="D20" s="86">
        <v>-5766.66</v>
      </c>
      <c r="E20" s="86">
        <v>-11049.99</v>
      </c>
      <c r="F20" s="86">
        <v>-15849.99</v>
      </c>
      <c r="G20" s="86">
        <v>-20649.989999999998</v>
      </c>
      <c r="H20" s="86">
        <v>-25449.989999999998</v>
      </c>
      <c r="I20" s="77" t="s">
        <v>54</v>
      </c>
      <c r="J20" s="85"/>
      <c r="K20" s="81"/>
      <c r="L20" s="85"/>
      <c r="M20" s="81"/>
      <c r="N20" s="81"/>
      <c r="O20" s="81"/>
    </row>
    <row r="21" spans="2:15" x14ac:dyDescent="0.25">
      <c r="B21" s="77"/>
      <c r="C21" s="81">
        <f t="shared" ref="C21:H21" si="5">SUM(C19:C20)</f>
        <v>1016.6700000000001</v>
      </c>
      <c r="D21" s="81">
        <f t="shared" si="5"/>
        <v>43733.34</v>
      </c>
      <c r="E21" s="81">
        <f t="shared" si="5"/>
        <v>38450.01</v>
      </c>
      <c r="F21" s="81">
        <f t="shared" si="5"/>
        <v>33650.01</v>
      </c>
      <c r="G21" s="81">
        <f t="shared" si="5"/>
        <v>28850.010000000002</v>
      </c>
      <c r="H21" s="81">
        <f t="shared" si="5"/>
        <v>24050.010000000002</v>
      </c>
      <c r="I21" s="77" t="s">
        <v>53</v>
      </c>
      <c r="J21" s="84">
        <v>8828.6736839999903</v>
      </c>
      <c r="K21" s="84">
        <v>4830.5722089999872</v>
      </c>
      <c r="L21" s="84">
        <v>5770.8228803599786</v>
      </c>
      <c r="M21" s="84">
        <v>24687.888317759956</v>
      </c>
      <c r="N21" s="84">
        <v>44676.091547991906</v>
      </c>
      <c r="O21" s="84">
        <v>75858.779003118252</v>
      </c>
    </row>
    <row r="22" spans="2:15" ht="15.75" thickBot="1" x14ac:dyDescent="0.3">
      <c r="B22" s="77"/>
      <c r="C22" s="83"/>
      <c r="D22" s="83"/>
      <c r="E22" s="83"/>
      <c r="F22" s="83"/>
      <c r="G22" s="83"/>
      <c r="H22" s="83"/>
      <c r="I22" s="77"/>
      <c r="J22" s="81">
        <f t="shared" ref="J22:O22" si="6">SUM(J19:J21)</f>
        <v>23828.67368399999</v>
      </c>
      <c r="K22" s="81">
        <f t="shared" si="6"/>
        <v>19830.572208999987</v>
      </c>
      <c r="L22" s="81">
        <f t="shared" si="6"/>
        <v>20770.822880359978</v>
      </c>
      <c r="M22" s="81">
        <f t="shared" si="6"/>
        <v>39687.888317759956</v>
      </c>
      <c r="N22" s="81">
        <f t="shared" si="6"/>
        <v>59676.091547991906</v>
      </c>
      <c r="O22" s="81">
        <f t="shared" si="6"/>
        <v>90858.779003118252</v>
      </c>
    </row>
    <row r="23" spans="2:15" ht="16.5" thickTop="1" thickBot="1" x14ac:dyDescent="0.3">
      <c r="B23" s="82" t="s">
        <v>52</v>
      </c>
      <c r="C23" s="81">
        <f t="shared" ref="C23:H23" si="7">C21+C16+C10+C28</f>
        <v>64514.789999999994</v>
      </c>
      <c r="D23" s="81">
        <f t="shared" si="7"/>
        <v>121805.93</v>
      </c>
      <c r="E23" s="81">
        <f t="shared" si="7"/>
        <v>103032.05900000001</v>
      </c>
      <c r="F23" s="81">
        <f t="shared" si="7"/>
        <v>125873.33679999999</v>
      </c>
      <c r="G23" s="81">
        <f t="shared" si="7"/>
        <v>147909.47015999997</v>
      </c>
      <c r="H23" s="81">
        <f t="shared" si="7"/>
        <v>227956.17419199995</v>
      </c>
      <c r="I23" s="77"/>
      <c r="J23" s="83"/>
      <c r="K23" s="83"/>
      <c r="L23" s="83"/>
      <c r="M23" s="83"/>
      <c r="N23" s="83"/>
      <c r="O23" s="83"/>
    </row>
    <row r="24" spans="2:15" ht="15.75" thickTop="1" x14ac:dyDescent="0.25">
      <c r="B24" s="77"/>
      <c r="C24" s="81"/>
      <c r="D24" s="81"/>
      <c r="E24" s="81"/>
      <c r="F24" s="81"/>
      <c r="G24" s="81"/>
      <c r="H24" s="81"/>
      <c r="I24" s="82" t="s">
        <v>51</v>
      </c>
      <c r="J24" s="81">
        <f t="shared" ref="J24:O24" si="8">J22+J17+J11</f>
        <v>32765.727074999988</v>
      </c>
      <c r="K24" s="81">
        <f t="shared" si="8"/>
        <v>82769.63613816665</v>
      </c>
      <c r="L24" s="81">
        <f t="shared" si="8"/>
        <v>70741.034996916627</v>
      </c>
      <c r="M24" s="81">
        <f t="shared" si="8"/>
        <v>79761.677297526592</v>
      </c>
      <c r="N24" s="81">
        <f t="shared" si="8"/>
        <v>88379.743599026551</v>
      </c>
      <c r="O24" s="81">
        <f t="shared" si="8"/>
        <v>126003.09873241183</v>
      </c>
    </row>
    <row r="25" spans="2:15" x14ac:dyDescent="0.25">
      <c r="B25" s="62"/>
      <c r="C25" s="80">
        <f t="shared" ref="C25:H25" si="9">+C23-J24</f>
        <v>31749.062925000006</v>
      </c>
      <c r="D25" s="80">
        <f t="shared" si="9"/>
        <v>39036.293861833343</v>
      </c>
      <c r="E25" s="80">
        <f t="shared" si="9"/>
        <v>32291.024003083381</v>
      </c>
      <c r="F25" s="80">
        <f t="shared" si="9"/>
        <v>46111.659502473398</v>
      </c>
      <c r="G25" s="80">
        <f t="shared" si="9"/>
        <v>59529.726560973417</v>
      </c>
      <c r="H25" s="80">
        <f t="shared" si="9"/>
        <v>101953.07545958812</v>
      </c>
      <c r="I25" s="77"/>
      <c r="J25" s="79"/>
      <c r="K25" s="79"/>
      <c r="L25" s="79"/>
      <c r="M25" s="79"/>
      <c r="N25" s="79"/>
      <c r="O25" s="79"/>
    </row>
    <row r="26" spans="2:15" ht="15.75" thickBot="1" x14ac:dyDescent="0.3">
      <c r="B26" s="62"/>
      <c r="C26" s="78"/>
      <c r="D26" s="78"/>
      <c r="E26" s="78"/>
      <c r="F26" s="78"/>
      <c r="G26" s="78"/>
      <c r="H26" s="78"/>
      <c r="I26" s="77"/>
      <c r="J26" s="76"/>
      <c r="K26" s="76"/>
      <c r="L26" s="76"/>
      <c r="M26" s="76"/>
      <c r="N26" s="76"/>
      <c r="O26" s="76"/>
    </row>
    <row r="27" spans="2:15" x14ac:dyDescent="0.25">
      <c r="B27" s="66"/>
      <c r="C27" s="75" t="s">
        <v>20</v>
      </c>
      <c r="D27" s="75" t="s">
        <v>21</v>
      </c>
      <c r="E27" s="75" t="s">
        <v>22</v>
      </c>
      <c r="F27" s="75" t="s">
        <v>23</v>
      </c>
      <c r="G27" s="75" t="s">
        <v>24</v>
      </c>
      <c r="H27" s="74" t="s">
        <v>25</v>
      </c>
      <c r="I27" s="62"/>
      <c r="J27" s="63"/>
      <c r="K27" s="62"/>
      <c r="L27" s="62"/>
      <c r="M27" s="62"/>
      <c r="N27" s="62"/>
      <c r="O27" s="62"/>
    </row>
    <row r="28" spans="2:15" ht="21" x14ac:dyDescent="0.25">
      <c r="B28" s="61" t="s">
        <v>50</v>
      </c>
      <c r="C28" s="60">
        <f t="shared" ref="C28:H28" si="10">+C29+C30</f>
        <v>31749.059999999998</v>
      </c>
      <c r="D28" s="60">
        <f t="shared" si="10"/>
        <v>39036.294999999998</v>
      </c>
      <c r="E28" s="60">
        <f t="shared" si="10"/>
        <v>32291.0245</v>
      </c>
      <c r="F28" s="60">
        <f t="shared" si="10"/>
        <v>46111.66339999999</v>
      </c>
      <c r="G28" s="60">
        <f t="shared" si="10"/>
        <v>59529.730079999994</v>
      </c>
      <c r="H28" s="59">
        <f t="shared" si="10"/>
        <v>101953.08209599998</v>
      </c>
      <c r="J28" s="73"/>
    </row>
    <row r="29" spans="2:15" ht="18.75" x14ac:dyDescent="0.25">
      <c r="B29" s="58" t="s">
        <v>49</v>
      </c>
      <c r="C29" s="57">
        <f t="shared" ref="C29:H30" si="11">+C5</f>
        <v>23357.55</v>
      </c>
      <c r="D29" s="57">
        <f t="shared" si="11"/>
        <v>26449.03</v>
      </c>
      <c r="E29" s="57">
        <f t="shared" si="11"/>
        <v>15927.58</v>
      </c>
      <c r="F29" s="57">
        <f t="shared" si="11"/>
        <v>26475.53</v>
      </c>
      <c r="G29" s="57">
        <f t="shared" si="11"/>
        <v>35966.370000000003</v>
      </c>
      <c r="H29" s="56">
        <f t="shared" si="11"/>
        <v>73677.049999999988</v>
      </c>
      <c r="J29" s="62"/>
      <c r="K29" s="72"/>
      <c r="L29" s="72"/>
      <c r="M29" s="72"/>
      <c r="N29" s="72"/>
      <c r="O29" s="72"/>
    </row>
    <row r="30" spans="2:15" ht="18.75" x14ac:dyDescent="0.25">
      <c r="B30" s="58" t="s">
        <v>48</v>
      </c>
      <c r="C30" s="57">
        <f t="shared" si="11"/>
        <v>8391.51</v>
      </c>
      <c r="D30" s="57">
        <f t="shared" si="11"/>
        <v>12587.264999999999</v>
      </c>
      <c r="E30" s="57">
        <f t="shared" si="11"/>
        <v>16363.444499999998</v>
      </c>
      <c r="F30" s="57">
        <f t="shared" si="11"/>
        <v>19636.133399999995</v>
      </c>
      <c r="G30" s="57">
        <f t="shared" si="11"/>
        <v>23563.360079999995</v>
      </c>
      <c r="H30" s="56">
        <f t="shared" si="11"/>
        <v>28276.032095999992</v>
      </c>
      <c r="J30" s="72"/>
    </row>
    <row r="31" spans="2:15" ht="18.75" x14ac:dyDescent="0.25">
      <c r="B31" s="58"/>
      <c r="C31" s="57"/>
      <c r="D31" s="57"/>
      <c r="E31" s="57"/>
      <c r="F31" s="57"/>
      <c r="G31" s="57"/>
      <c r="H31" s="56"/>
    </row>
    <row r="32" spans="2:15" ht="21" x14ac:dyDescent="0.25">
      <c r="B32" s="61" t="s">
        <v>47</v>
      </c>
      <c r="C32" s="60">
        <f t="shared" ref="C32:H32" si="12">+C33+C34</f>
        <v>1016.6700000000001</v>
      </c>
      <c r="D32" s="60">
        <f t="shared" si="12"/>
        <v>43733.34</v>
      </c>
      <c r="E32" s="60">
        <f t="shared" si="12"/>
        <v>38450.01</v>
      </c>
      <c r="F32" s="60">
        <f t="shared" si="12"/>
        <v>33650.01</v>
      </c>
      <c r="G32" s="60">
        <f t="shared" si="12"/>
        <v>28850.010000000002</v>
      </c>
      <c r="H32" s="59">
        <f t="shared" si="12"/>
        <v>24050.010000000002</v>
      </c>
    </row>
    <row r="33" spans="2:15" ht="18.75" x14ac:dyDescent="0.25">
      <c r="B33" s="58" t="s">
        <v>46</v>
      </c>
      <c r="C33" s="57">
        <f t="shared" ref="C33:H34" si="13">+C19</f>
        <v>1500</v>
      </c>
      <c r="D33" s="57">
        <f t="shared" si="13"/>
        <v>49500</v>
      </c>
      <c r="E33" s="57">
        <f t="shared" si="13"/>
        <v>49500</v>
      </c>
      <c r="F33" s="57">
        <f t="shared" si="13"/>
        <v>49500</v>
      </c>
      <c r="G33" s="57">
        <f t="shared" si="13"/>
        <v>49500</v>
      </c>
      <c r="H33" s="56">
        <f t="shared" si="13"/>
        <v>49500</v>
      </c>
    </row>
    <row r="34" spans="2:15" ht="18.75" x14ac:dyDescent="0.25">
      <c r="B34" s="58" t="s">
        <v>45</v>
      </c>
      <c r="C34" s="57">
        <f t="shared" si="13"/>
        <v>-483.33</v>
      </c>
      <c r="D34" s="57">
        <f t="shared" si="13"/>
        <v>-5766.66</v>
      </c>
      <c r="E34" s="57">
        <f t="shared" si="13"/>
        <v>-11049.99</v>
      </c>
      <c r="F34" s="57">
        <f t="shared" si="13"/>
        <v>-15849.99</v>
      </c>
      <c r="G34" s="57">
        <f t="shared" si="13"/>
        <v>-20649.989999999998</v>
      </c>
      <c r="H34" s="56">
        <f t="shared" si="13"/>
        <v>-25449.989999999998</v>
      </c>
    </row>
    <row r="35" spans="2:15" ht="19.5" thickBot="1" x14ac:dyDescent="0.3">
      <c r="B35" s="61" t="s">
        <v>44</v>
      </c>
      <c r="C35" s="71">
        <f t="shared" ref="C35:H35" si="14">+C32+C28</f>
        <v>32765.729999999996</v>
      </c>
      <c r="D35" s="71">
        <f t="shared" si="14"/>
        <v>82769.634999999995</v>
      </c>
      <c r="E35" s="71">
        <f t="shared" si="14"/>
        <v>70741.034500000009</v>
      </c>
      <c r="F35" s="71">
        <f t="shared" si="14"/>
        <v>79761.6734</v>
      </c>
      <c r="G35" s="71">
        <f t="shared" si="14"/>
        <v>88379.740079999989</v>
      </c>
      <c r="H35" s="70">
        <f t="shared" si="14"/>
        <v>126003.09209599998</v>
      </c>
    </row>
    <row r="36" spans="2:15" ht="20.25" thickTop="1" thickBot="1" x14ac:dyDescent="0.3">
      <c r="B36" s="69"/>
      <c r="C36" s="68"/>
      <c r="D36" s="68"/>
      <c r="E36" s="68"/>
      <c r="F36" s="68"/>
      <c r="G36" s="68"/>
      <c r="H36" s="67"/>
    </row>
    <row r="37" spans="2:15" ht="18.75" x14ac:dyDescent="0.25">
      <c r="B37" s="66"/>
      <c r="C37" s="65" t="s">
        <v>20</v>
      </c>
      <c r="D37" s="65" t="s">
        <v>21</v>
      </c>
      <c r="E37" s="65" t="s">
        <v>22</v>
      </c>
      <c r="F37" s="65" t="s">
        <v>23</v>
      </c>
      <c r="G37" s="65" t="s">
        <v>24</v>
      </c>
      <c r="H37" s="64" t="s">
        <v>25</v>
      </c>
      <c r="I37" s="62"/>
      <c r="J37" s="63"/>
      <c r="K37" s="62"/>
      <c r="L37" s="62"/>
      <c r="M37" s="62"/>
      <c r="N37" s="62"/>
      <c r="O37" s="62"/>
    </row>
    <row r="38" spans="2:15" ht="21" x14ac:dyDescent="0.25">
      <c r="B38" s="61" t="s">
        <v>43</v>
      </c>
      <c r="C38" s="60">
        <f t="shared" ref="C38:H38" si="15">+C39+C40</f>
        <v>8937.0533909999976</v>
      </c>
      <c r="D38" s="60">
        <f t="shared" si="15"/>
        <v>62939.063929166674</v>
      </c>
      <c r="E38" s="60">
        <f t="shared" si="15"/>
        <v>49970.21211655665</v>
      </c>
      <c r="F38" s="60">
        <f t="shared" si="15"/>
        <v>40073.788979766643</v>
      </c>
      <c r="G38" s="60">
        <f t="shared" si="15"/>
        <v>28703.652051034645</v>
      </c>
      <c r="H38" s="59">
        <f t="shared" si="15"/>
        <v>35144.31972929358</v>
      </c>
    </row>
    <row r="39" spans="2:15" ht="18.75" x14ac:dyDescent="0.25">
      <c r="B39" s="58" t="s">
        <v>42</v>
      </c>
      <c r="C39" s="57">
        <f t="shared" ref="C39:H39" si="16">+J6</f>
        <v>0</v>
      </c>
      <c r="D39" s="57">
        <f t="shared" si="16"/>
        <v>51376.041666666672</v>
      </c>
      <c r="E39" s="57">
        <f t="shared" si="16"/>
        <v>34713.541666666657</v>
      </c>
      <c r="F39" s="57">
        <f t="shared" si="16"/>
        <v>18051.041666666657</v>
      </c>
      <c r="G39" s="57">
        <f t="shared" si="16"/>
        <v>1388.5416666666592</v>
      </c>
      <c r="H39" s="56">
        <f t="shared" si="16"/>
        <v>0</v>
      </c>
    </row>
    <row r="40" spans="2:15" ht="18.75" x14ac:dyDescent="0.25">
      <c r="B40" s="58" t="s">
        <v>41</v>
      </c>
      <c r="C40" s="57">
        <f t="shared" ref="C40:H40" si="17">+J5+J7+J8+J9+J10</f>
        <v>8937.0533909999976</v>
      </c>
      <c r="D40" s="57">
        <f t="shared" si="17"/>
        <v>11563.022262499999</v>
      </c>
      <c r="E40" s="57">
        <f t="shared" si="17"/>
        <v>15256.670449889996</v>
      </c>
      <c r="F40" s="57">
        <f t="shared" si="17"/>
        <v>22022.74731309999</v>
      </c>
      <c r="G40" s="57">
        <f t="shared" si="17"/>
        <v>27315.110384367985</v>
      </c>
      <c r="H40" s="56">
        <f t="shared" si="17"/>
        <v>35144.31972929358</v>
      </c>
    </row>
    <row r="41" spans="2:15" ht="18.75" x14ac:dyDescent="0.25">
      <c r="B41" s="58"/>
      <c r="C41" s="57"/>
      <c r="D41" s="57"/>
      <c r="E41" s="57"/>
      <c r="F41" s="57"/>
      <c r="G41" s="57"/>
      <c r="H41" s="56"/>
    </row>
    <row r="42" spans="2:15" ht="21" x14ac:dyDescent="0.25">
      <c r="B42" s="61" t="s">
        <v>40</v>
      </c>
      <c r="C42" s="60">
        <f t="shared" ref="C42:H42" si="18">+C43+C44</f>
        <v>23828.67368399999</v>
      </c>
      <c r="D42" s="60">
        <f t="shared" si="18"/>
        <v>19830.572208999987</v>
      </c>
      <c r="E42" s="60">
        <f t="shared" si="18"/>
        <v>20770.822880359978</v>
      </c>
      <c r="F42" s="60">
        <f t="shared" si="18"/>
        <v>39687.888317759956</v>
      </c>
      <c r="G42" s="60">
        <f t="shared" si="18"/>
        <v>59676.091547991906</v>
      </c>
      <c r="H42" s="59">
        <f t="shared" si="18"/>
        <v>90858.779003118252</v>
      </c>
    </row>
    <row r="43" spans="2:15" ht="18.75" x14ac:dyDescent="0.25">
      <c r="B43" s="58" t="s">
        <v>39</v>
      </c>
      <c r="C43" s="57">
        <f t="shared" ref="C43:H43" si="19">+J19</f>
        <v>15000</v>
      </c>
      <c r="D43" s="57">
        <f t="shared" si="19"/>
        <v>15000</v>
      </c>
      <c r="E43" s="57">
        <f t="shared" si="19"/>
        <v>15000</v>
      </c>
      <c r="F43" s="57">
        <f t="shared" si="19"/>
        <v>15000</v>
      </c>
      <c r="G43" s="57">
        <f t="shared" si="19"/>
        <v>15000</v>
      </c>
      <c r="H43" s="56">
        <f t="shared" si="19"/>
        <v>15000</v>
      </c>
    </row>
    <row r="44" spans="2:15" ht="18.75" x14ac:dyDescent="0.25">
      <c r="B44" s="58" t="s">
        <v>38</v>
      </c>
      <c r="C44" s="57">
        <f t="shared" ref="C44:H44" si="20">+J21</f>
        <v>8828.6736839999903</v>
      </c>
      <c r="D44" s="57">
        <f t="shared" si="20"/>
        <v>4830.5722089999872</v>
      </c>
      <c r="E44" s="57">
        <f t="shared" si="20"/>
        <v>5770.8228803599786</v>
      </c>
      <c r="F44" s="57">
        <f t="shared" si="20"/>
        <v>24687.888317759956</v>
      </c>
      <c r="G44" s="57">
        <f t="shared" si="20"/>
        <v>44676.091547991906</v>
      </c>
      <c r="H44" s="56">
        <f t="shared" si="20"/>
        <v>75858.779003118252</v>
      </c>
    </row>
    <row r="45" spans="2:15" ht="19.5" thickBot="1" x14ac:dyDescent="0.3">
      <c r="B45" s="55" t="s">
        <v>37</v>
      </c>
      <c r="C45" s="54">
        <f t="shared" ref="C45:H45" si="21">+C42+C38</f>
        <v>32765.727074999988</v>
      </c>
      <c r="D45" s="54">
        <f t="shared" si="21"/>
        <v>82769.636138166665</v>
      </c>
      <c r="E45" s="54">
        <f t="shared" si="21"/>
        <v>70741.034996916627</v>
      </c>
      <c r="F45" s="54">
        <f t="shared" si="21"/>
        <v>79761.677297526592</v>
      </c>
      <c r="G45" s="54">
        <f t="shared" si="21"/>
        <v>88379.743599026551</v>
      </c>
      <c r="H45" s="53">
        <f t="shared" si="21"/>
        <v>126003.09873241183</v>
      </c>
    </row>
    <row r="47" spans="2:15" x14ac:dyDescent="0.25">
      <c r="C47" s="97">
        <f t="shared" ref="C47:H47" si="22">+C45-C35</f>
        <v>-2.925000007962808E-3</v>
      </c>
      <c r="D47" s="97">
        <f t="shared" si="22"/>
        <v>1.1381666699890047E-3</v>
      </c>
      <c r="E47" s="97">
        <f t="shared" si="22"/>
        <v>4.96916618430987E-4</v>
      </c>
      <c r="F47" s="97">
        <f t="shared" si="22"/>
        <v>3.8975265924818814E-3</v>
      </c>
      <c r="G47" s="97">
        <f t="shared" si="22"/>
        <v>3.5190265625715256E-3</v>
      </c>
      <c r="H47" s="97">
        <f t="shared" si="22"/>
        <v>6.636411853833124E-3</v>
      </c>
    </row>
  </sheetData>
  <mergeCells count="1">
    <mergeCell ref="A1:O1"/>
  </mergeCells>
  <pageMargins left="0.11811023622047245" right="0.11811023622047245" top="0.78740157480314965" bottom="0.78740157480314965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workbookViewId="0">
      <selection activeCell="E20" sqref="E20"/>
    </sheetView>
  </sheetViews>
  <sheetFormatPr defaultRowHeight="12.75" x14ac:dyDescent="0.2"/>
  <cols>
    <col min="1" max="1" width="3.7109375" style="37" customWidth="1"/>
    <col min="2" max="2" width="37.85546875" style="37" customWidth="1"/>
    <col min="3" max="8" width="15.7109375" style="37" customWidth="1"/>
    <col min="9" max="256" width="9.140625" style="37"/>
    <col min="257" max="257" width="3.7109375" style="37" customWidth="1"/>
    <col min="258" max="258" width="37.85546875" style="37" customWidth="1"/>
    <col min="259" max="264" width="15.7109375" style="37" customWidth="1"/>
    <col min="265" max="512" width="9.140625" style="37"/>
    <col min="513" max="513" width="3.7109375" style="37" customWidth="1"/>
    <col min="514" max="514" width="37.85546875" style="37" customWidth="1"/>
    <col min="515" max="520" width="15.7109375" style="37" customWidth="1"/>
    <col min="521" max="768" width="9.140625" style="37"/>
    <col min="769" max="769" width="3.7109375" style="37" customWidth="1"/>
    <col min="770" max="770" width="37.85546875" style="37" customWidth="1"/>
    <col min="771" max="776" width="15.7109375" style="37" customWidth="1"/>
    <col min="777" max="1024" width="9.140625" style="37"/>
    <col min="1025" max="1025" width="3.7109375" style="37" customWidth="1"/>
    <col min="1026" max="1026" width="37.85546875" style="37" customWidth="1"/>
    <col min="1027" max="1032" width="15.7109375" style="37" customWidth="1"/>
    <col min="1033" max="1280" width="9.140625" style="37"/>
    <col min="1281" max="1281" width="3.7109375" style="37" customWidth="1"/>
    <col min="1282" max="1282" width="37.85546875" style="37" customWidth="1"/>
    <col min="1283" max="1288" width="15.7109375" style="37" customWidth="1"/>
    <col min="1289" max="1536" width="9.140625" style="37"/>
    <col min="1537" max="1537" width="3.7109375" style="37" customWidth="1"/>
    <col min="1538" max="1538" width="37.85546875" style="37" customWidth="1"/>
    <col min="1539" max="1544" width="15.7109375" style="37" customWidth="1"/>
    <col min="1545" max="1792" width="9.140625" style="37"/>
    <col min="1793" max="1793" width="3.7109375" style="37" customWidth="1"/>
    <col min="1794" max="1794" width="37.85546875" style="37" customWidth="1"/>
    <col min="1795" max="1800" width="15.7109375" style="37" customWidth="1"/>
    <col min="1801" max="2048" width="9.140625" style="37"/>
    <col min="2049" max="2049" width="3.7109375" style="37" customWidth="1"/>
    <col min="2050" max="2050" width="37.85546875" style="37" customWidth="1"/>
    <col min="2051" max="2056" width="15.7109375" style="37" customWidth="1"/>
    <col min="2057" max="2304" width="9.140625" style="37"/>
    <col min="2305" max="2305" width="3.7109375" style="37" customWidth="1"/>
    <col min="2306" max="2306" width="37.85546875" style="37" customWidth="1"/>
    <col min="2307" max="2312" width="15.7109375" style="37" customWidth="1"/>
    <col min="2313" max="2560" width="9.140625" style="37"/>
    <col min="2561" max="2561" width="3.7109375" style="37" customWidth="1"/>
    <col min="2562" max="2562" width="37.85546875" style="37" customWidth="1"/>
    <col min="2563" max="2568" width="15.7109375" style="37" customWidth="1"/>
    <col min="2569" max="2816" width="9.140625" style="37"/>
    <col min="2817" max="2817" width="3.7109375" style="37" customWidth="1"/>
    <col min="2818" max="2818" width="37.85546875" style="37" customWidth="1"/>
    <col min="2819" max="2824" width="15.7109375" style="37" customWidth="1"/>
    <col min="2825" max="3072" width="9.140625" style="37"/>
    <col min="3073" max="3073" width="3.7109375" style="37" customWidth="1"/>
    <col min="3074" max="3074" width="37.85546875" style="37" customWidth="1"/>
    <col min="3075" max="3080" width="15.7109375" style="37" customWidth="1"/>
    <col min="3081" max="3328" width="9.140625" style="37"/>
    <col min="3329" max="3329" width="3.7109375" style="37" customWidth="1"/>
    <col min="3330" max="3330" width="37.85546875" style="37" customWidth="1"/>
    <col min="3331" max="3336" width="15.7109375" style="37" customWidth="1"/>
    <col min="3337" max="3584" width="9.140625" style="37"/>
    <col min="3585" max="3585" width="3.7109375" style="37" customWidth="1"/>
    <col min="3586" max="3586" width="37.85546875" style="37" customWidth="1"/>
    <col min="3587" max="3592" width="15.7109375" style="37" customWidth="1"/>
    <col min="3593" max="3840" width="9.140625" style="37"/>
    <col min="3841" max="3841" width="3.7109375" style="37" customWidth="1"/>
    <col min="3842" max="3842" width="37.85546875" style="37" customWidth="1"/>
    <col min="3843" max="3848" width="15.7109375" style="37" customWidth="1"/>
    <col min="3849" max="4096" width="9.140625" style="37"/>
    <col min="4097" max="4097" width="3.7109375" style="37" customWidth="1"/>
    <col min="4098" max="4098" width="37.85546875" style="37" customWidth="1"/>
    <col min="4099" max="4104" width="15.7109375" style="37" customWidth="1"/>
    <col min="4105" max="4352" width="9.140625" style="37"/>
    <col min="4353" max="4353" width="3.7109375" style="37" customWidth="1"/>
    <col min="4354" max="4354" width="37.85546875" style="37" customWidth="1"/>
    <col min="4355" max="4360" width="15.7109375" style="37" customWidth="1"/>
    <col min="4361" max="4608" width="9.140625" style="37"/>
    <col min="4609" max="4609" width="3.7109375" style="37" customWidth="1"/>
    <col min="4610" max="4610" width="37.85546875" style="37" customWidth="1"/>
    <col min="4611" max="4616" width="15.7109375" style="37" customWidth="1"/>
    <col min="4617" max="4864" width="9.140625" style="37"/>
    <col min="4865" max="4865" width="3.7109375" style="37" customWidth="1"/>
    <col min="4866" max="4866" width="37.85546875" style="37" customWidth="1"/>
    <col min="4867" max="4872" width="15.7109375" style="37" customWidth="1"/>
    <col min="4873" max="5120" width="9.140625" style="37"/>
    <col min="5121" max="5121" width="3.7109375" style="37" customWidth="1"/>
    <col min="5122" max="5122" width="37.85546875" style="37" customWidth="1"/>
    <col min="5123" max="5128" width="15.7109375" style="37" customWidth="1"/>
    <col min="5129" max="5376" width="9.140625" style="37"/>
    <col min="5377" max="5377" width="3.7109375" style="37" customWidth="1"/>
    <col min="5378" max="5378" width="37.85546875" style="37" customWidth="1"/>
    <col min="5379" max="5384" width="15.7109375" style="37" customWidth="1"/>
    <col min="5385" max="5632" width="9.140625" style="37"/>
    <col min="5633" max="5633" width="3.7109375" style="37" customWidth="1"/>
    <col min="5634" max="5634" width="37.85546875" style="37" customWidth="1"/>
    <col min="5635" max="5640" width="15.7109375" style="37" customWidth="1"/>
    <col min="5641" max="5888" width="9.140625" style="37"/>
    <col min="5889" max="5889" width="3.7109375" style="37" customWidth="1"/>
    <col min="5890" max="5890" width="37.85546875" style="37" customWidth="1"/>
    <col min="5891" max="5896" width="15.7109375" style="37" customWidth="1"/>
    <col min="5897" max="6144" width="9.140625" style="37"/>
    <col min="6145" max="6145" width="3.7109375" style="37" customWidth="1"/>
    <col min="6146" max="6146" width="37.85546875" style="37" customWidth="1"/>
    <col min="6147" max="6152" width="15.7109375" style="37" customWidth="1"/>
    <col min="6153" max="6400" width="9.140625" style="37"/>
    <col min="6401" max="6401" width="3.7109375" style="37" customWidth="1"/>
    <col min="6402" max="6402" width="37.85546875" style="37" customWidth="1"/>
    <col min="6403" max="6408" width="15.7109375" style="37" customWidth="1"/>
    <col min="6409" max="6656" width="9.140625" style="37"/>
    <col min="6657" max="6657" width="3.7109375" style="37" customWidth="1"/>
    <col min="6658" max="6658" width="37.85546875" style="37" customWidth="1"/>
    <col min="6659" max="6664" width="15.7109375" style="37" customWidth="1"/>
    <col min="6665" max="6912" width="9.140625" style="37"/>
    <col min="6913" max="6913" width="3.7109375" style="37" customWidth="1"/>
    <col min="6914" max="6914" width="37.85546875" style="37" customWidth="1"/>
    <col min="6915" max="6920" width="15.7109375" style="37" customWidth="1"/>
    <col min="6921" max="7168" width="9.140625" style="37"/>
    <col min="7169" max="7169" width="3.7109375" style="37" customWidth="1"/>
    <col min="7170" max="7170" width="37.85546875" style="37" customWidth="1"/>
    <col min="7171" max="7176" width="15.7109375" style="37" customWidth="1"/>
    <col min="7177" max="7424" width="9.140625" style="37"/>
    <col min="7425" max="7425" width="3.7109375" style="37" customWidth="1"/>
    <col min="7426" max="7426" width="37.85546875" style="37" customWidth="1"/>
    <col min="7427" max="7432" width="15.7109375" style="37" customWidth="1"/>
    <col min="7433" max="7680" width="9.140625" style="37"/>
    <col min="7681" max="7681" width="3.7109375" style="37" customWidth="1"/>
    <col min="7682" max="7682" width="37.85546875" style="37" customWidth="1"/>
    <col min="7683" max="7688" width="15.7109375" style="37" customWidth="1"/>
    <col min="7689" max="7936" width="9.140625" style="37"/>
    <col min="7937" max="7937" width="3.7109375" style="37" customWidth="1"/>
    <col min="7938" max="7938" width="37.85546875" style="37" customWidth="1"/>
    <col min="7939" max="7944" width="15.7109375" style="37" customWidth="1"/>
    <col min="7945" max="8192" width="9.140625" style="37"/>
    <col min="8193" max="8193" width="3.7109375" style="37" customWidth="1"/>
    <col min="8194" max="8194" width="37.85546875" style="37" customWidth="1"/>
    <col min="8195" max="8200" width="15.7109375" style="37" customWidth="1"/>
    <col min="8201" max="8448" width="9.140625" style="37"/>
    <col min="8449" max="8449" width="3.7109375" style="37" customWidth="1"/>
    <col min="8450" max="8450" width="37.85546875" style="37" customWidth="1"/>
    <col min="8451" max="8456" width="15.7109375" style="37" customWidth="1"/>
    <col min="8457" max="8704" width="9.140625" style="37"/>
    <col min="8705" max="8705" width="3.7109375" style="37" customWidth="1"/>
    <col min="8706" max="8706" width="37.85546875" style="37" customWidth="1"/>
    <col min="8707" max="8712" width="15.7109375" style="37" customWidth="1"/>
    <col min="8713" max="8960" width="9.140625" style="37"/>
    <col min="8961" max="8961" width="3.7109375" style="37" customWidth="1"/>
    <col min="8962" max="8962" width="37.85546875" style="37" customWidth="1"/>
    <col min="8963" max="8968" width="15.7109375" style="37" customWidth="1"/>
    <col min="8969" max="9216" width="9.140625" style="37"/>
    <col min="9217" max="9217" width="3.7109375" style="37" customWidth="1"/>
    <col min="9218" max="9218" width="37.85546875" style="37" customWidth="1"/>
    <col min="9219" max="9224" width="15.7109375" style="37" customWidth="1"/>
    <col min="9225" max="9472" width="9.140625" style="37"/>
    <col min="9473" max="9473" width="3.7109375" style="37" customWidth="1"/>
    <col min="9474" max="9474" width="37.85546875" style="37" customWidth="1"/>
    <col min="9475" max="9480" width="15.7109375" style="37" customWidth="1"/>
    <col min="9481" max="9728" width="9.140625" style="37"/>
    <col min="9729" max="9729" width="3.7109375" style="37" customWidth="1"/>
    <col min="9730" max="9730" width="37.85546875" style="37" customWidth="1"/>
    <col min="9731" max="9736" width="15.7109375" style="37" customWidth="1"/>
    <col min="9737" max="9984" width="9.140625" style="37"/>
    <col min="9985" max="9985" width="3.7109375" style="37" customWidth="1"/>
    <col min="9986" max="9986" width="37.85546875" style="37" customWidth="1"/>
    <col min="9987" max="9992" width="15.7109375" style="37" customWidth="1"/>
    <col min="9993" max="10240" width="9.140625" style="37"/>
    <col min="10241" max="10241" width="3.7109375" style="37" customWidth="1"/>
    <col min="10242" max="10242" width="37.85546875" style="37" customWidth="1"/>
    <col min="10243" max="10248" width="15.7109375" style="37" customWidth="1"/>
    <col min="10249" max="10496" width="9.140625" style="37"/>
    <col min="10497" max="10497" width="3.7109375" style="37" customWidth="1"/>
    <col min="10498" max="10498" width="37.85546875" style="37" customWidth="1"/>
    <col min="10499" max="10504" width="15.7109375" style="37" customWidth="1"/>
    <col min="10505" max="10752" width="9.140625" style="37"/>
    <col min="10753" max="10753" width="3.7109375" style="37" customWidth="1"/>
    <col min="10754" max="10754" width="37.85546875" style="37" customWidth="1"/>
    <col min="10755" max="10760" width="15.7109375" style="37" customWidth="1"/>
    <col min="10761" max="11008" width="9.140625" style="37"/>
    <col min="11009" max="11009" width="3.7109375" style="37" customWidth="1"/>
    <col min="11010" max="11010" width="37.85546875" style="37" customWidth="1"/>
    <col min="11011" max="11016" width="15.7109375" style="37" customWidth="1"/>
    <col min="11017" max="11264" width="9.140625" style="37"/>
    <col min="11265" max="11265" width="3.7109375" style="37" customWidth="1"/>
    <col min="11266" max="11266" width="37.85546875" style="37" customWidth="1"/>
    <col min="11267" max="11272" width="15.7109375" style="37" customWidth="1"/>
    <col min="11273" max="11520" width="9.140625" style="37"/>
    <col min="11521" max="11521" width="3.7109375" style="37" customWidth="1"/>
    <col min="11522" max="11522" width="37.85546875" style="37" customWidth="1"/>
    <col min="11523" max="11528" width="15.7109375" style="37" customWidth="1"/>
    <col min="11529" max="11776" width="9.140625" style="37"/>
    <col min="11777" max="11777" width="3.7109375" style="37" customWidth="1"/>
    <col min="11778" max="11778" width="37.85546875" style="37" customWidth="1"/>
    <col min="11779" max="11784" width="15.7109375" style="37" customWidth="1"/>
    <col min="11785" max="12032" width="9.140625" style="37"/>
    <col min="12033" max="12033" width="3.7109375" style="37" customWidth="1"/>
    <col min="12034" max="12034" width="37.85546875" style="37" customWidth="1"/>
    <col min="12035" max="12040" width="15.7109375" style="37" customWidth="1"/>
    <col min="12041" max="12288" width="9.140625" style="37"/>
    <col min="12289" max="12289" width="3.7109375" style="37" customWidth="1"/>
    <col min="12290" max="12290" width="37.85546875" style="37" customWidth="1"/>
    <col min="12291" max="12296" width="15.7109375" style="37" customWidth="1"/>
    <col min="12297" max="12544" width="9.140625" style="37"/>
    <col min="12545" max="12545" width="3.7109375" style="37" customWidth="1"/>
    <col min="12546" max="12546" width="37.85546875" style="37" customWidth="1"/>
    <col min="12547" max="12552" width="15.7109375" style="37" customWidth="1"/>
    <col min="12553" max="12800" width="9.140625" style="37"/>
    <col min="12801" max="12801" width="3.7109375" style="37" customWidth="1"/>
    <col min="12802" max="12802" width="37.85546875" style="37" customWidth="1"/>
    <col min="12803" max="12808" width="15.7109375" style="37" customWidth="1"/>
    <col min="12809" max="13056" width="9.140625" style="37"/>
    <col min="13057" max="13057" width="3.7109375" style="37" customWidth="1"/>
    <col min="13058" max="13058" width="37.85546875" style="37" customWidth="1"/>
    <col min="13059" max="13064" width="15.7109375" style="37" customWidth="1"/>
    <col min="13065" max="13312" width="9.140625" style="37"/>
    <col min="13313" max="13313" width="3.7109375" style="37" customWidth="1"/>
    <col min="13314" max="13314" width="37.85546875" style="37" customWidth="1"/>
    <col min="13315" max="13320" width="15.7109375" style="37" customWidth="1"/>
    <col min="13321" max="13568" width="9.140625" style="37"/>
    <col min="13569" max="13569" width="3.7109375" style="37" customWidth="1"/>
    <col min="13570" max="13570" width="37.85546875" style="37" customWidth="1"/>
    <col min="13571" max="13576" width="15.7109375" style="37" customWidth="1"/>
    <col min="13577" max="13824" width="9.140625" style="37"/>
    <col min="13825" max="13825" width="3.7109375" style="37" customWidth="1"/>
    <col min="13826" max="13826" width="37.85546875" style="37" customWidth="1"/>
    <col min="13827" max="13832" width="15.7109375" style="37" customWidth="1"/>
    <col min="13833" max="14080" width="9.140625" style="37"/>
    <col min="14081" max="14081" width="3.7109375" style="37" customWidth="1"/>
    <col min="14082" max="14082" width="37.85546875" style="37" customWidth="1"/>
    <col min="14083" max="14088" width="15.7109375" style="37" customWidth="1"/>
    <col min="14089" max="14336" width="9.140625" style="37"/>
    <col min="14337" max="14337" width="3.7109375" style="37" customWidth="1"/>
    <col min="14338" max="14338" width="37.85546875" style="37" customWidth="1"/>
    <col min="14339" max="14344" width="15.7109375" style="37" customWidth="1"/>
    <col min="14345" max="14592" width="9.140625" style="37"/>
    <col min="14593" max="14593" width="3.7109375" style="37" customWidth="1"/>
    <col min="14594" max="14594" width="37.85546875" style="37" customWidth="1"/>
    <col min="14595" max="14600" width="15.7109375" style="37" customWidth="1"/>
    <col min="14601" max="14848" width="9.140625" style="37"/>
    <col min="14849" max="14849" width="3.7109375" style="37" customWidth="1"/>
    <col min="14850" max="14850" width="37.85546875" style="37" customWidth="1"/>
    <col min="14851" max="14856" width="15.7109375" style="37" customWidth="1"/>
    <col min="14857" max="15104" width="9.140625" style="37"/>
    <col min="15105" max="15105" width="3.7109375" style="37" customWidth="1"/>
    <col min="15106" max="15106" width="37.85546875" style="37" customWidth="1"/>
    <col min="15107" max="15112" width="15.7109375" style="37" customWidth="1"/>
    <col min="15113" max="15360" width="9.140625" style="37"/>
    <col min="15361" max="15361" width="3.7109375" style="37" customWidth="1"/>
    <col min="15362" max="15362" width="37.85546875" style="37" customWidth="1"/>
    <col min="15363" max="15368" width="15.7109375" style="37" customWidth="1"/>
    <col min="15369" max="15616" width="9.140625" style="37"/>
    <col min="15617" max="15617" width="3.7109375" style="37" customWidth="1"/>
    <col min="15618" max="15618" width="37.85546875" style="37" customWidth="1"/>
    <col min="15619" max="15624" width="15.7109375" style="37" customWidth="1"/>
    <col min="15625" max="15872" width="9.140625" style="37"/>
    <col min="15873" max="15873" width="3.7109375" style="37" customWidth="1"/>
    <col min="15874" max="15874" width="37.85546875" style="37" customWidth="1"/>
    <col min="15875" max="15880" width="15.7109375" style="37" customWidth="1"/>
    <col min="15881" max="16128" width="9.140625" style="37"/>
    <col min="16129" max="16129" width="3.7109375" style="37" customWidth="1"/>
    <col min="16130" max="16130" width="37.85546875" style="37" customWidth="1"/>
    <col min="16131" max="16136" width="15.7109375" style="37" customWidth="1"/>
    <col min="16137" max="16384" width="9.140625" style="37"/>
  </cols>
  <sheetData>
    <row r="1" spans="2:8" ht="50.1" customHeight="1" thickBot="1" x14ac:dyDescent="0.25"/>
    <row r="2" spans="2:8" ht="16.5" thickBot="1" x14ac:dyDescent="0.3">
      <c r="B2" s="38"/>
      <c r="C2" s="39" t="s">
        <v>20</v>
      </c>
      <c r="D2" s="40" t="s">
        <v>21</v>
      </c>
      <c r="E2" s="41" t="s">
        <v>22</v>
      </c>
      <c r="F2" s="42" t="s">
        <v>23</v>
      </c>
      <c r="G2" s="41" t="s">
        <v>24</v>
      </c>
      <c r="H2" s="43" t="s">
        <v>25</v>
      </c>
    </row>
    <row r="3" spans="2:8" hidden="1" x14ac:dyDescent="0.2">
      <c r="B3" s="37" t="s">
        <v>26</v>
      </c>
      <c r="C3" s="44" t="e">
        <f t="shared" ref="C3:H3" si="0">+C4-C5*C7</f>
        <v>#REF!</v>
      </c>
      <c r="D3" s="44">
        <f t="shared" si="0"/>
        <v>-7891.8739306852312</v>
      </c>
      <c r="E3" s="44">
        <f t="shared" si="0"/>
        <v>-3760.7876369580154</v>
      </c>
      <c r="F3" s="44">
        <f t="shared" si="0"/>
        <v>10521.021904066512</v>
      </c>
      <c r="G3" s="44">
        <f t="shared" si="0"/>
        <v>10069.164633619668</v>
      </c>
      <c r="H3" s="44">
        <f t="shared" si="0"/>
        <v>19951.740840826165</v>
      </c>
    </row>
    <row r="4" spans="2:8" hidden="1" x14ac:dyDescent="0.2">
      <c r="B4" s="37" t="s">
        <v>27</v>
      </c>
      <c r="C4" s="44" t="e">
        <f>+[10]DRE!G67</f>
        <v>#REF!</v>
      </c>
      <c r="D4" s="44">
        <f>+[11]DRE!H67</f>
        <v>-3998.1014750000031</v>
      </c>
      <c r="E4" s="44">
        <f>+[11]DRE!I67</f>
        <v>940.25067135999166</v>
      </c>
      <c r="F4" s="44">
        <f>+[11]DRE!J67</f>
        <v>18917.065437399979</v>
      </c>
      <c r="G4" s="44">
        <f>+[11]DRE!K67</f>
        <v>19988.203230231946</v>
      </c>
      <c r="H4" s="44">
        <f>+[11]DRE!L67</f>
        <v>31182.68745512635</v>
      </c>
    </row>
    <row r="5" spans="2:8" hidden="1" x14ac:dyDescent="0.2">
      <c r="B5" s="37" t="s">
        <v>28</v>
      </c>
      <c r="C5" s="44">
        <f t="shared" ref="C5:H5" si="1">+C14</f>
        <v>37476.165899999985</v>
      </c>
      <c r="D5" s="44">
        <f t="shared" si="1"/>
        <v>22857.572849999997</v>
      </c>
      <c r="E5" s="44">
        <f t="shared" si="1"/>
        <v>26126.248304999986</v>
      </c>
      <c r="F5" s="44">
        <f t="shared" si="1"/>
        <v>39747.069845999969</v>
      </c>
      <c r="G5" s="44">
        <f t="shared" si="1"/>
        <v>41290.426483199932</v>
      </c>
      <c r="H5" s="44">
        <f t="shared" si="1"/>
        <v>46313.181914639936</v>
      </c>
    </row>
    <row r="6" spans="2:8" hidden="1" x14ac:dyDescent="0.2">
      <c r="C6" s="45"/>
      <c r="D6" s="45"/>
      <c r="E6" s="45"/>
      <c r="F6" s="45"/>
      <c r="G6" s="45"/>
      <c r="H6" s="45"/>
    </row>
    <row r="7" spans="2:8" x14ac:dyDescent="0.2">
      <c r="B7" s="37" t="s">
        <v>29</v>
      </c>
      <c r="C7" s="46">
        <f t="shared" ref="C7:H7" si="2">+C8*C9+C10*C11</f>
        <v>0.24249999999999999</v>
      </c>
      <c r="D7" s="46">
        <f t="shared" si="2"/>
        <v>0.17034934029249865</v>
      </c>
      <c r="E7" s="46">
        <f t="shared" si="2"/>
        <v>0.17993545240164971</v>
      </c>
      <c r="F7" s="46">
        <f t="shared" si="2"/>
        <v>0.21123679219283178</v>
      </c>
      <c r="G7" s="46">
        <f t="shared" si="2"/>
        <v>0.24022611150911927</v>
      </c>
      <c r="H7" s="46">
        <f t="shared" si="2"/>
        <v>0.24249999999999999</v>
      </c>
    </row>
    <row r="8" spans="2:8" x14ac:dyDescent="0.2">
      <c r="B8" s="37" t="s">
        <v>30</v>
      </c>
      <c r="C8" s="47">
        <v>0.14249999999999999</v>
      </c>
      <c r="D8" s="47">
        <v>0.14249999999999999</v>
      </c>
      <c r="E8" s="47">
        <v>0.14249999999999999</v>
      </c>
      <c r="F8" s="47">
        <v>0.14249999999999999</v>
      </c>
      <c r="G8" s="47">
        <v>0.14249999999999999</v>
      </c>
      <c r="H8" s="47">
        <v>0.14249999999999999</v>
      </c>
    </row>
    <row r="9" spans="2:8" x14ac:dyDescent="0.2">
      <c r="B9" s="37" t="s">
        <v>31</v>
      </c>
      <c r="C9" s="47">
        <f>+'Balanço '!C39/('Balanço '!C39+'Balanço '!C42)</f>
        <v>0</v>
      </c>
      <c r="D9" s="47">
        <f>+'Balanço '!D39/('Balanço '!D39+'Balanço '!D42)</f>
        <v>0.72150659707501319</v>
      </c>
      <c r="E9" s="47">
        <f>+'Balanço '!E39/('Balanço '!E39+'Balanço '!E42)</f>
        <v>0.62564547598350262</v>
      </c>
      <c r="F9" s="47">
        <f>+'Balanço '!F39/('Balanço '!F39+'Balanço '!F42)</f>
        <v>0.31263207807168225</v>
      </c>
      <c r="G9" s="47">
        <f>+'Balanço '!G39/('Balanço '!G39+'Balanço '!G42)</f>
        <v>2.2738884908807409E-2</v>
      </c>
      <c r="H9" s="47">
        <f>+'Balanço '!H39/('Balanço '!H39+'Balanço '!H42)</f>
        <v>0</v>
      </c>
    </row>
    <row r="10" spans="2:8" x14ac:dyDescent="0.2">
      <c r="B10" s="37" t="s">
        <v>32</v>
      </c>
      <c r="C10" s="47">
        <v>0.24249999999999999</v>
      </c>
      <c r="D10" s="47">
        <v>0.24249999999999999</v>
      </c>
      <c r="E10" s="47">
        <v>0.24249999999999999</v>
      </c>
      <c r="F10" s="47">
        <v>0.24249999999999999</v>
      </c>
      <c r="G10" s="47">
        <v>0.24249999999999999</v>
      </c>
      <c r="H10" s="47">
        <v>0.24249999999999999</v>
      </c>
    </row>
    <row r="11" spans="2:8" x14ac:dyDescent="0.2">
      <c r="B11" s="37" t="s">
        <v>33</v>
      </c>
      <c r="C11" s="47">
        <f>+'Balanço '!C42/('Balanço '!C39+'Balanço '!C42)</f>
        <v>1</v>
      </c>
      <c r="D11" s="47">
        <f>+'Balanço '!D42/('Balanço '!D39+'Balanço '!D42)</f>
        <v>0.27849340292498675</v>
      </c>
      <c r="E11" s="47">
        <f>+'Balanço '!E42/('Balanço '!E39+'Balanço '!E42)</f>
        <v>0.37435452401649738</v>
      </c>
      <c r="F11" s="47">
        <f>+'Balanço '!F42/('Balanço '!F39+'Balanço '!F42)</f>
        <v>0.68736792192831775</v>
      </c>
      <c r="G11" s="47">
        <f>+'Balanço '!G42/('Balanço '!G39+'Balanço '!G42)</f>
        <v>0.97726111509119262</v>
      </c>
      <c r="H11" s="47">
        <f>+'Balanço '!H42/('Balanço '!H39+'Balanço '!H42)</f>
        <v>1</v>
      </c>
    </row>
    <row r="12" spans="2:8" ht="13.5" thickBot="1" x14ac:dyDescent="0.25"/>
    <row r="13" spans="2:8" ht="16.5" thickBot="1" x14ac:dyDescent="0.3">
      <c r="B13" s="38"/>
      <c r="C13" s="39" t="s">
        <v>20</v>
      </c>
      <c r="D13" s="40">
        <v>1</v>
      </c>
      <c r="E13" s="41">
        <v>2</v>
      </c>
      <c r="F13" s="42">
        <v>3</v>
      </c>
      <c r="G13" s="41">
        <v>4</v>
      </c>
      <c r="H13" s="43">
        <v>5</v>
      </c>
    </row>
    <row r="14" spans="2:8" x14ac:dyDescent="0.2">
      <c r="B14" s="48" t="s">
        <v>34</v>
      </c>
      <c r="C14" s="49">
        <f>+[11]DRE!G73</f>
        <v>37476.165899999985</v>
      </c>
      <c r="D14" s="49">
        <f>+[11]DRE!H73</f>
        <v>22857.572849999997</v>
      </c>
      <c r="E14" s="49">
        <f>+[11]DRE!I73</f>
        <v>26126.248304999986</v>
      </c>
      <c r="F14" s="49">
        <f>+[11]DRE!J73</f>
        <v>39747.069845999969</v>
      </c>
      <c r="G14" s="49">
        <f>+[11]DRE!K73</f>
        <v>41290.426483199932</v>
      </c>
      <c r="H14" s="49">
        <f>+[11]DRE!L73</f>
        <v>46313.181914639936</v>
      </c>
    </row>
    <row r="15" spans="2:8" x14ac:dyDescent="0.2">
      <c r="B15" s="37" t="s">
        <v>35</v>
      </c>
      <c r="C15" s="50">
        <f t="shared" ref="C15:H15" si="3">+C7</f>
        <v>0.24249999999999999</v>
      </c>
      <c r="D15" s="50">
        <f t="shared" si="3"/>
        <v>0.17034934029249865</v>
      </c>
      <c r="E15" s="50">
        <f t="shared" si="3"/>
        <v>0.17993545240164971</v>
      </c>
      <c r="F15" s="50">
        <f t="shared" si="3"/>
        <v>0.21123679219283178</v>
      </c>
      <c r="G15" s="50">
        <f t="shared" si="3"/>
        <v>0.24022611150911927</v>
      </c>
      <c r="H15" s="50">
        <f t="shared" si="3"/>
        <v>0.24249999999999999</v>
      </c>
    </row>
    <row r="16" spans="2:8" x14ac:dyDescent="0.2">
      <c r="C16" s="44"/>
      <c r="D16" s="44"/>
      <c r="E16" s="44"/>
      <c r="F16" s="44"/>
      <c r="G16" s="44"/>
      <c r="H16" s="44"/>
    </row>
    <row r="17" spans="2:8" x14ac:dyDescent="0.2">
      <c r="B17" s="37" t="s">
        <v>36</v>
      </c>
      <c r="C17" s="44">
        <f>+C14/(1+C15)</f>
        <v>30161.904144869204</v>
      </c>
      <c r="D17" s="44">
        <f>+D14/(1+D15)^D13</f>
        <v>19530.555589741551</v>
      </c>
      <c r="E17" s="44">
        <f>+E14/(1+E15)^E13</f>
        <v>18765.51768305611</v>
      </c>
      <c r="F17" s="44">
        <f>+F14/(1+F15)^F13</f>
        <v>22367.526208519877</v>
      </c>
      <c r="G17" s="44">
        <f>+G14/(1+G15)^G13</f>
        <v>17452.027392938977</v>
      </c>
      <c r="H17" s="44">
        <f>+H14/(1+H15)^H13</f>
        <v>15639.491662752913</v>
      </c>
    </row>
    <row r="18" spans="2:8" x14ac:dyDescent="0.2">
      <c r="C18" s="44"/>
      <c r="D18" s="44"/>
      <c r="E18" s="44"/>
      <c r="F18" s="44"/>
      <c r="G18" s="44"/>
      <c r="H18" s="44"/>
    </row>
    <row r="19" spans="2:8" x14ac:dyDescent="0.2">
      <c r="B19" s="37" t="s">
        <v>78</v>
      </c>
      <c r="C19" s="44">
        <f>SUM(C17:H17)</f>
        <v>123917.02268187865</v>
      </c>
      <c r="D19" s="44"/>
      <c r="E19" s="44"/>
      <c r="F19" s="44"/>
      <c r="G19" s="44"/>
      <c r="H19" s="44"/>
    </row>
  </sheetData>
  <pageMargins left="0.78740157499999996" right="0.78740157499999996" top="0.984251969" bottom="0.984251969" header="0.49212598499999999" footer="0.49212598499999999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5" sqref="F15"/>
    </sheetView>
  </sheetViews>
  <sheetFormatPr defaultRowHeight="15" x14ac:dyDescent="0.25"/>
  <cols>
    <col min="1" max="1" width="20.7109375" style="16" bestFit="1" customWidth="1"/>
    <col min="2" max="3" width="10.5703125" style="16" bestFit="1" customWidth="1"/>
    <col min="4" max="16384" width="9.140625" style="16"/>
  </cols>
  <sheetData>
    <row r="1" spans="1:3" x14ac:dyDescent="0.25">
      <c r="A1" s="16" t="s">
        <v>107</v>
      </c>
      <c r="B1" s="16">
        <v>2013</v>
      </c>
      <c r="C1" s="18">
        <v>60000</v>
      </c>
    </row>
    <row r="2" spans="1:3" x14ac:dyDescent="0.25">
      <c r="A2" s="16" t="s">
        <v>108</v>
      </c>
      <c r="B2" s="16">
        <v>6</v>
      </c>
    </row>
    <row r="3" spans="1:3" x14ac:dyDescent="0.25">
      <c r="A3" s="16" t="s">
        <v>109</v>
      </c>
      <c r="B3" s="16">
        <v>4</v>
      </c>
    </row>
    <row r="5" spans="1:3" x14ac:dyDescent="0.25">
      <c r="A5" s="125" t="s">
        <v>110</v>
      </c>
      <c r="B5" s="126">
        <v>42005</v>
      </c>
    </row>
    <row r="6" spans="1:3" x14ac:dyDescent="0.25">
      <c r="A6" s="125" t="s">
        <v>111</v>
      </c>
      <c r="B6" s="125">
        <v>4</v>
      </c>
      <c r="C6" s="16" t="s">
        <v>114</v>
      </c>
    </row>
    <row r="7" spans="1:3" x14ac:dyDescent="0.25">
      <c r="A7" s="125" t="s">
        <v>113</v>
      </c>
      <c r="B7" s="125">
        <v>2</v>
      </c>
      <c r="C7" s="16" t="s">
        <v>114</v>
      </c>
    </row>
    <row r="8" spans="1:3" x14ac:dyDescent="0.25">
      <c r="A8" s="125" t="s">
        <v>106</v>
      </c>
      <c r="B8" s="127">
        <f>C1/B2*B6</f>
        <v>40000</v>
      </c>
    </row>
    <row r="9" spans="1:3" x14ac:dyDescent="0.25">
      <c r="A9" s="125" t="s">
        <v>112</v>
      </c>
      <c r="B9" s="127">
        <f>C1-C1/B3*B7</f>
        <v>30000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6" sqref="C16"/>
    </sheetView>
  </sheetViews>
  <sheetFormatPr defaultRowHeight="15" x14ac:dyDescent="0.25"/>
  <cols>
    <col min="1" max="1" width="20.7109375" style="16" bestFit="1" customWidth="1"/>
    <col min="2" max="3" width="10.5703125" style="16" bestFit="1" customWidth="1"/>
    <col min="4" max="16384" width="9.140625" style="16"/>
  </cols>
  <sheetData>
    <row r="1" spans="1:6" x14ac:dyDescent="0.25">
      <c r="A1" s="16" t="s">
        <v>107</v>
      </c>
      <c r="B1" s="16">
        <v>2013</v>
      </c>
      <c r="C1" s="18">
        <v>60000</v>
      </c>
    </row>
    <row r="2" spans="1:6" x14ac:dyDescent="0.25">
      <c r="A2" s="16" t="s">
        <v>108</v>
      </c>
      <c r="B2" s="16">
        <v>6</v>
      </c>
    </row>
    <row r="3" spans="1:6" x14ac:dyDescent="0.25">
      <c r="A3" s="16" t="s">
        <v>109</v>
      </c>
      <c r="B3" s="16">
        <v>4</v>
      </c>
    </row>
    <row r="5" spans="1:6" x14ac:dyDescent="0.25">
      <c r="A5" s="125" t="s">
        <v>110</v>
      </c>
      <c r="B5" s="126">
        <v>42005</v>
      </c>
    </row>
    <row r="6" spans="1:6" x14ac:dyDescent="0.25">
      <c r="A6" s="125" t="s">
        <v>111</v>
      </c>
      <c r="B6" s="125">
        <v>4</v>
      </c>
      <c r="C6" s="16" t="s">
        <v>114</v>
      </c>
    </row>
    <row r="7" spans="1:6" x14ac:dyDescent="0.25">
      <c r="A7" s="125" t="s">
        <v>113</v>
      </c>
      <c r="B7" s="125">
        <v>2</v>
      </c>
      <c r="C7" s="16" t="s">
        <v>114</v>
      </c>
    </row>
    <row r="8" spans="1:6" x14ac:dyDescent="0.25">
      <c r="A8" s="125" t="s">
        <v>106</v>
      </c>
      <c r="B8" s="127">
        <f>C1/B2*B6</f>
        <v>40000</v>
      </c>
    </row>
    <row r="9" spans="1:6" x14ac:dyDescent="0.25">
      <c r="A9" s="125" t="s">
        <v>112</v>
      </c>
      <c r="B9" s="127">
        <f>C1-C1/B3*B7</f>
        <v>30000</v>
      </c>
    </row>
    <row r="10" spans="1:6" x14ac:dyDescent="0.25">
      <c r="B10" s="16">
        <v>2015</v>
      </c>
      <c r="C10" s="16">
        <v>2015</v>
      </c>
      <c r="D10" s="16">
        <v>2016</v>
      </c>
      <c r="E10" s="16">
        <v>2017</v>
      </c>
      <c r="F10" s="125">
        <v>2018</v>
      </c>
    </row>
    <row r="11" spans="1:6" x14ac:dyDescent="0.25">
      <c r="A11" s="125" t="s">
        <v>119</v>
      </c>
      <c r="B11" s="125">
        <v>0</v>
      </c>
      <c r="C11" s="127">
        <f>$C$1/$B$3-$C$15</f>
        <v>5000</v>
      </c>
      <c r="D11" s="127">
        <f>$C$1/$B$3-$C$15</f>
        <v>5000</v>
      </c>
      <c r="E11" s="127">
        <f>$C$1/$B$3-$C$15</f>
        <v>5000</v>
      </c>
      <c r="F11" s="127">
        <f>$C$1/$B$3-$C$15</f>
        <v>5000</v>
      </c>
    </row>
    <row r="12" spans="1:6" x14ac:dyDescent="0.25">
      <c r="A12" s="125" t="s">
        <v>118</v>
      </c>
      <c r="B12" s="125"/>
      <c r="C12" s="127">
        <f>B11+C11</f>
        <v>5000</v>
      </c>
      <c r="D12" s="127">
        <f>C12+D11</f>
        <v>10000</v>
      </c>
      <c r="E12" s="127"/>
      <c r="F12" s="127"/>
    </row>
    <row r="14" spans="1:6" x14ac:dyDescent="0.25">
      <c r="A14" s="125" t="s">
        <v>45</v>
      </c>
      <c r="C14" s="16">
        <v>2015</v>
      </c>
      <c r="D14" s="16">
        <v>2016</v>
      </c>
      <c r="E14" s="16">
        <v>2017</v>
      </c>
      <c r="F14" s="125">
        <v>2018</v>
      </c>
    </row>
    <row r="15" spans="1:6" x14ac:dyDescent="0.25">
      <c r="A15" s="125" t="s">
        <v>115</v>
      </c>
      <c r="C15" s="127">
        <f>$B$8/$B$6</f>
        <v>10000</v>
      </c>
      <c r="D15" s="127">
        <f>$B$8/$B$6</f>
        <v>10000</v>
      </c>
      <c r="E15" s="127">
        <f>$B$8/$B$6</f>
        <v>10000</v>
      </c>
      <c r="F15" s="127">
        <f>$B$8/$B$6</f>
        <v>10000</v>
      </c>
    </row>
    <row r="16" spans="1:6" x14ac:dyDescent="0.25">
      <c r="A16" s="125" t="s">
        <v>116</v>
      </c>
      <c r="C16" s="127">
        <f>$B$9/$B$6</f>
        <v>7500</v>
      </c>
      <c r="D16" s="127">
        <f>$B$9/$B$6</f>
        <v>7500</v>
      </c>
      <c r="E16" s="127">
        <f>$B$9/$B$6</f>
        <v>7500</v>
      </c>
      <c r="F16" s="127">
        <f>$B$9/$B$6</f>
        <v>7500</v>
      </c>
    </row>
    <row r="17" spans="1:6" x14ac:dyDescent="0.25">
      <c r="A17" s="125" t="s">
        <v>117</v>
      </c>
      <c r="B17" s="127">
        <f>B9-B8</f>
        <v>-10000</v>
      </c>
      <c r="C17" s="127">
        <f>$B$17/-$B$6</f>
        <v>2500</v>
      </c>
      <c r="D17" s="127">
        <f>$B$17/-$B$6</f>
        <v>2500</v>
      </c>
      <c r="E17" s="127">
        <f>$B$17/-$B$6</f>
        <v>2500</v>
      </c>
      <c r="F17" s="127">
        <f>$B$17/-$B$6</f>
        <v>2500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Impairment</vt:lpstr>
      <vt:lpstr>Arrrendamento financeiro</vt:lpstr>
      <vt:lpstr>Balanço </vt:lpstr>
      <vt:lpstr>VPL</vt:lpstr>
      <vt:lpstr>Exerc 1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Claudio</dc:creator>
  <cp:lastModifiedBy>Luis Claudio</cp:lastModifiedBy>
  <dcterms:created xsi:type="dcterms:W3CDTF">2016-06-10T16:55:58Z</dcterms:created>
  <dcterms:modified xsi:type="dcterms:W3CDTF">2016-06-22T03:26:35Z</dcterms:modified>
</cp:coreProperties>
</file>