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go\Desktop\Aulas 2016\Diversos\Formação Executiva\Sescoop\Exercícios\"/>
    </mc:Choice>
  </mc:AlternateContent>
  <bookViews>
    <workbookView xWindow="0" yWindow="0" windowWidth="20490" windowHeight="7530" firstSheet="8" activeTab="12"/>
  </bookViews>
  <sheets>
    <sheet name="Atv01 - CPC00" sheetId="1" r:id="rId1"/>
    <sheet name="Atv02 CPC16" sheetId="2" r:id="rId2"/>
    <sheet name="Atv03 CPC01" sheetId="3" r:id="rId3"/>
    <sheet name="Atv04 CPC27" sheetId="4" r:id="rId4"/>
    <sheet name="Atv05 CPC06" sheetId="5" r:id="rId5"/>
    <sheet name="Atv06 CPC25" sheetId="6" r:id="rId6"/>
    <sheet name="Atv07 DR e DRA" sheetId="7" r:id="rId7"/>
    <sheet name="Atv08 razonetes" sheetId="8" r:id="rId8"/>
    <sheet name="Atv08 BP" sheetId="9" r:id="rId9"/>
    <sheet name="Atv08 DMPL" sheetId="10" r:id="rId10"/>
    <sheet name="Atv09 DFC direta" sheetId="11" r:id="rId11"/>
    <sheet name="Atv10 DFC indireta" sheetId="12" r:id="rId12"/>
    <sheet name="Atv11 DVA" sheetId="13" r:id="rId13"/>
  </sheets>
  <externalReferences>
    <externalReference r:id="rId1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3" l="1"/>
  <c r="F74" i="13"/>
  <c r="F71" i="13"/>
  <c r="F69" i="13"/>
  <c r="F68" i="13"/>
  <c r="F67" i="13"/>
  <c r="F64" i="13"/>
  <c r="F60" i="13"/>
  <c r="F59" i="13"/>
  <c r="F58" i="13"/>
  <c r="F57" i="13" s="1"/>
  <c r="F55" i="13"/>
  <c r="F53" i="13"/>
  <c r="F52" i="13"/>
  <c r="F50" i="13" s="1"/>
  <c r="F51" i="13"/>
  <c r="F49" i="13"/>
  <c r="F48" i="13"/>
  <c r="F46" i="13" s="1"/>
  <c r="F54" i="13" s="1"/>
  <c r="F56" i="13" s="1"/>
  <c r="F61" i="13" s="1"/>
  <c r="F47" i="13"/>
  <c r="D5" i="13"/>
  <c r="D11" i="13" s="1"/>
  <c r="D13" i="13" s="1"/>
  <c r="D15" i="13" s="1"/>
  <c r="F80" i="13" s="1"/>
  <c r="F62" i="13" l="1"/>
  <c r="F51" i="12" l="1"/>
  <c r="F69" i="12"/>
  <c r="F68" i="12"/>
  <c r="F70" i="12" s="1"/>
  <c r="F63" i="12"/>
  <c r="F64" i="12" s="1"/>
  <c r="F62" i="12"/>
  <c r="D28" i="12"/>
  <c r="D30" i="12" s="1"/>
  <c r="D35" i="12" s="1"/>
  <c r="D38" i="12" s="1"/>
  <c r="D40" i="12" s="1"/>
  <c r="F44" i="12" s="1"/>
  <c r="I21" i="12"/>
  <c r="H21" i="12"/>
  <c r="J20" i="12"/>
  <c r="J19" i="12"/>
  <c r="E19" i="12"/>
  <c r="J18" i="12"/>
  <c r="E18" i="12"/>
  <c r="E17" i="12"/>
  <c r="J15" i="12"/>
  <c r="E15" i="12"/>
  <c r="I13" i="12"/>
  <c r="I22" i="12" s="1"/>
  <c r="H13" i="12"/>
  <c r="J13" i="12" s="1"/>
  <c r="J12" i="12"/>
  <c r="J11" i="12"/>
  <c r="F58" i="12" s="1"/>
  <c r="D11" i="12"/>
  <c r="D22" i="12" s="1"/>
  <c r="C11" i="12"/>
  <c r="C22" i="12" s="1"/>
  <c r="J10" i="12"/>
  <c r="F57" i="12" s="1"/>
  <c r="J9" i="12"/>
  <c r="F56" i="12" s="1"/>
  <c r="E9" i="12"/>
  <c r="F54" i="12" s="1"/>
  <c r="J8" i="12"/>
  <c r="E8" i="12"/>
  <c r="F53" i="12" s="1"/>
  <c r="E7" i="12"/>
  <c r="J6" i="12"/>
  <c r="F55" i="12" s="1"/>
  <c r="E6" i="12"/>
  <c r="E22" i="12" l="1"/>
  <c r="J21" i="12"/>
  <c r="F59" i="12"/>
  <c r="F71" i="12" s="1"/>
  <c r="F73" i="12" s="1"/>
  <c r="E11" i="12"/>
  <c r="H22" i="12"/>
  <c r="J22" i="12" s="1"/>
  <c r="D38" i="11" l="1"/>
  <c r="D37" i="11"/>
  <c r="D35" i="11"/>
  <c r="D32" i="11"/>
  <c r="D33" i="11" s="1"/>
  <c r="D28" i="11"/>
  <c r="A28" i="11"/>
  <c r="D27" i="11"/>
  <c r="A27" i="11"/>
  <c r="K5" i="11"/>
  <c r="K6" i="11" s="1"/>
  <c r="B5" i="11"/>
  <c r="C5" i="11" s="1"/>
  <c r="E10" i="11" l="1"/>
  <c r="E5" i="11"/>
  <c r="E7" i="11"/>
  <c r="E8" i="11"/>
  <c r="E6" i="11"/>
  <c r="E9" i="11"/>
  <c r="D5" i="11"/>
  <c r="E11" i="11" l="1"/>
  <c r="F5" i="11"/>
  <c r="B6" i="11" s="1"/>
  <c r="C6" i="11" l="1"/>
  <c r="D29" i="11" l="1"/>
  <c r="D30" i="11" s="1"/>
  <c r="D6" i="11"/>
  <c r="D36" i="11" l="1"/>
  <c r="D39" i="11" s="1"/>
  <c r="D40" i="11" s="1"/>
  <c r="D42" i="11" s="1"/>
  <c r="F6" i="11"/>
  <c r="B7" i="11" s="1"/>
  <c r="C7" i="11" l="1"/>
  <c r="D7" i="11" l="1"/>
  <c r="F7" i="11" l="1"/>
  <c r="B8" i="11" s="1"/>
  <c r="C8" i="11" l="1"/>
  <c r="D8" i="11" l="1"/>
  <c r="F8" i="11" l="1"/>
  <c r="B9" i="11" s="1"/>
  <c r="E30" i="10"/>
  <c r="E31" i="10" s="1"/>
  <c r="D29" i="10"/>
  <c r="F29" i="10" s="1"/>
  <c r="G16" i="10"/>
  <c r="B46" i="10"/>
  <c r="B45" i="10"/>
  <c r="B44" i="10"/>
  <c r="G15" i="10" s="1"/>
  <c r="F14" i="10"/>
  <c r="H14" i="10" s="1"/>
  <c r="E12" i="10"/>
  <c r="F12" i="10"/>
  <c r="F11" i="10"/>
  <c r="H11" i="10" s="1"/>
  <c r="B10" i="10"/>
  <c r="H10" i="10" s="1"/>
  <c r="F6" i="10"/>
  <c r="D4" i="10"/>
  <c r="D7" i="10" s="1"/>
  <c r="B4" i="10"/>
  <c r="H4" i="10" s="1"/>
  <c r="B38" i="10"/>
  <c r="F38" i="10" s="1"/>
  <c r="D18" i="10" s="1"/>
  <c r="C37" i="10"/>
  <c r="F37" i="10" s="1"/>
  <c r="C36" i="10"/>
  <c r="B36" i="10"/>
  <c r="G7" i="10"/>
  <c r="F7" i="10"/>
  <c r="E7" i="10"/>
  <c r="C7" i="10"/>
  <c r="H6" i="10"/>
  <c r="D23" i="9"/>
  <c r="D22" i="9"/>
  <c r="D21" i="9"/>
  <c r="D19" i="9"/>
  <c r="D14" i="9"/>
  <c r="D13" i="9"/>
  <c r="D12" i="9"/>
  <c r="B14" i="9"/>
  <c r="B13" i="9"/>
  <c r="B5" i="9"/>
  <c r="B6" i="9" s="1"/>
  <c r="B4" i="9"/>
  <c r="G22" i="8"/>
  <c r="C18" i="8"/>
  <c r="K17" i="8"/>
  <c r="C17" i="8"/>
  <c r="O16" i="8"/>
  <c r="N16" i="8" s="1"/>
  <c r="K16" i="8"/>
  <c r="J16" i="8"/>
  <c r="K18" i="8" s="1"/>
  <c r="G16" i="8"/>
  <c r="F19" i="8" s="1"/>
  <c r="N10" i="8"/>
  <c r="C16" i="8" s="1"/>
  <c r="K10" i="8"/>
  <c r="D20" i="9" s="1"/>
  <c r="G10" i="8"/>
  <c r="C4" i="8"/>
  <c r="O3" i="8"/>
  <c r="J3" i="8"/>
  <c r="O5" i="8" s="1"/>
  <c r="D31" i="10" l="1"/>
  <c r="H12" i="10"/>
  <c r="C9" i="11"/>
  <c r="B17" i="8"/>
  <c r="B19" i="8" s="1"/>
  <c r="C5" i="8"/>
  <c r="C8" i="10"/>
  <c r="C20" i="10" s="1"/>
  <c r="C28" i="10"/>
  <c r="C31" i="10" s="1"/>
  <c r="C39" i="10"/>
  <c r="B9" i="10"/>
  <c r="H9" i="10" s="1"/>
  <c r="B27" i="10"/>
  <c r="F27" i="10" s="1"/>
  <c r="D19" i="10"/>
  <c r="D20" i="10" s="1"/>
  <c r="B8" i="10"/>
  <c r="E20" i="10"/>
  <c r="H15" i="10"/>
  <c r="B47" i="10"/>
  <c r="H7" i="10"/>
  <c r="F18" i="10"/>
  <c r="H16" i="10"/>
  <c r="B39" i="10"/>
  <c r="B7" i="10"/>
  <c r="F19" i="10"/>
  <c r="H19" i="10" s="1"/>
  <c r="F30" i="10"/>
  <c r="F36" i="10"/>
  <c r="F39" i="10" s="1"/>
  <c r="D15" i="9"/>
  <c r="F27" i="8"/>
  <c r="O22" i="8" s="1"/>
  <c r="H8" i="10" l="1"/>
  <c r="B31" i="10"/>
  <c r="D9" i="11"/>
  <c r="B20" i="10"/>
  <c r="D18" i="9"/>
  <c r="D24" i="9" s="1"/>
  <c r="D25" i="9" s="1"/>
  <c r="C33" i="8"/>
  <c r="F28" i="10"/>
  <c r="F31" i="10" s="1"/>
  <c r="C32" i="8"/>
  <c r="B12" i="9"/>
  <c r="B15" i="9" s="1"/>
  <c r="B25" i="9" s="1"/>
  <c r="F20" i="10"/>
  <c r="H18" i="10"/>
  <c r="H20" i="10" s="1"/>
  <c r="G20" i="10"/>
  <c r="C27" i="8"/>
  <c r="F9" i="11" l="1"/>
  <c r="B10" i="11" s="1"/>
  <c r="B27" i="8"/>
  <c r="O4" i="8" s="1"/>
  <c r="C10" i="11" l="1"/>
  <c r="N3" i="8"/>
  <c r="G4" i="8" s="1"/>
  <c r="G5" i="8" s="1"/>
  <c r="D10" i="11" l="1"/>
  <c r="C11" i="11"/>
  <c r="N5" i="8"/>
  <c r="K22" i="8" s="1"/>
  <c r="D11" i="11" l="1"/>
  <c r="F10" i="11"/>
  <c r="G27" i="7"/>
  <c r="G22" i="7"/>
  <c r="G17" i="7"/>
  <c r="G15" i="7"/>
  <c r="G12" i="7"/>
  <c r="G7" i="7"/>
  <c r="G5" i="7"/>
  <c r="I12" i="5" l="1"/>
  <c r="H29" i="5"/>
  <c r="M8" i="5"/>
  <c r="M7" i="5"/>
  <c r="M9" i="5" s="1"/>
  <c r="I7" i="5"/>
  <c r="E7" i="5" s="1"/>
  <c r="I6" i="5"/>
  <c r="B5" i="5"/>
  <c r="C5" i="5" s="1"/>
  <c r="K23" i="5" l="1"/>
  <c r="E6" i="5"/>
  <c r="E20" i="5"/>
  <c r="E40" i="5"/>
  <c r="E29" i="5"/>
  <c r="E18" i="5"/>
  <c r="E15" i="5"/>
  <c r="E10" i="5"/>
  <c r="E8" i="5"/>
  <c r="E39" i="5"/>
  <c r="E37" i="5"/>
  <c r="E35" i="5"/>
  <c r="E32" i="5"/>
  <c r="E30" i="5"/>
  <c r="E28" i="5"/>
  <c r="E25" i="5"/>
  <c r="E24" i="5"/>
  <c r="E23" i="5"/>
  <c r="E34" i="5"/>
  <c r="E27" i="5"/>
  <c r="E22" i="5"/>
  <c r="E16" i="5"/>
  <c r="E14" i="5"/>
  <c r="E13" i="5"/>
  <c r="E12" i="5"/>
  <c r="E9" i="5"/>
  <c r="E5" i="5"/>
  <c r="E38" i="5"/>
  <c r="E36" i="5"/>
  <c r="E33" i="5"/>
  <c r="E31" i="5"/>
  <c r="E26" i="5"/>
  <c r="E21" i="5"/>
  <c r="E17" i="5"/>
  <c r="K31" i="5"/>
  <c r="I37" i="5" s="1"/>
  <c r="K29" i="5"/>
  <c r="K30" i="5"/>
  <c r="I36" i="5" s="1"/>
  <c r="E11" i="5"/>
  <c r="E19" i="5"/>
  <c r="K13" i="5" l="1"/>
  <c r="I13" i="5" s="1"/>
  <c r="I35" i="5"/>
  <c r="I38" i="5" s="1"/>
  <c r="K32" i="5"/>
  <c r="E41" i="5"/>
  <c r="L12" i="5"/>
  <c r="K12" i="5"/>
  <c r="D5" i="5"/>
  <c r="F5" i="5" s="1"/>
  <c r="B6" i="5" s="1"/>
  <c r="I17" i="5"/>
  <c r="L17" i="5"/>
  <c r="L18" i="5" s="1"/>
  <c r="K17" i="5"/>
  <c r="L13" i="5" s="1"/>
  <c r="K18" i="5"/>
  <c r="L14" i="5" s="1"/>
  <c r="L15" i="5" s="1"/>
  <c r="C6" i="5" l="1"/>
  <c r="K24" i="5" l="1"/>
  <c r="D6" i="5"/>
  <c r="F6" i="5" s="1"/>
  <c r="B7" i="5" s="1"/>
  <c r="I18" i="5" l="1"/>
  <c r="K25" i="5"/>
  <c r="C7" i="5"/>
  <c r="D7" i="5" l="1"/>
  <c r="F7" i="5" s="1"/>
  <c r="B8" i="5" s="1"/>
  <c r="C8" i="5" l="1"/>
  <c r="D8" i="5" l="1"/>
  <c r="F8" i="5" s="1"/>
  <c r="B9" i="5" s="1"/>
  <c r="C9" i="5" l="1"/>
  <c r="D9" i="5" l="1"/>
  <c r="F9" i="5" s="1"/>
  <c r="B10" i="5" s="1"/>
  <c r="C10" i="5" l="1"/>
  <c r="D10" i="5" s="1"/>
  <c r="F10" i="5"/>
  <c r="B11" i="5" s="1"/>
  <c r="C11" i="5" l="1"/>
  <c r="D11" i="5" s="1"/>
  <c r="F11" i="5" s="1"/>
  <c r="B12" i="5" s="1"/>
  <c r="C12" i="5" l="1"/>
  <c r="D12" i="5" s="1"/>
  <c r="F12" i="5"/>
  <c r="B13" i="5" s="1"/>
  <c r="C13" i="5" l="1"/>
  <c r="D13" i="5" s="1"/>
  <c r="F13" i="5"/>
  <c r="B14" i="5" s="1"/>
  <c r="C14" i="5" l="1"/>
  <c r="D14" i="5" s="1"/>
  <c r="F14" i="5"/>
  <c r="B15" i="5" s="1"/>
  <c r="C15" i="5" l="1"/>
  <c r="D15" i="5" s="1"/>
  <c r="F15" i="5"/>
  <c r="B16" i="5" s="1"/>
  <c r="C16" i="5" l="1"/>
  <c r="D16" i="5" l="1"/>
  <c r="F16" i="5" s="1"/>
  <c r="B17" i="5" s="1"/>
  <c r="H17" i="5"/>
  <c r="C17" i="5" l="1"/>
  <c r="H18" i="5" l="1"/>
  <c r="I23" i="5" s="1"/>
  <c r="D17" i="5"/>
  <c r="F17" i="5" s="1"/>
  <c r="B18" i="5" s="1"/>
  <c r="C18" i="5" l="1"/>
  <c r="H19" i="5" l="1"/>
  <c r="D18" i="5"/>
  <c r="F18" i="5" s="1"/>
  <c r="B19" i="5" s="1"/>
  <c r="C19" i="5" l="1"/>
  <c r="I24" i="5"/>
  <c r="H20" i="5"/>
  <c r="D19" i="5" l="1"/>
  <c r="F19" i="5" s="1"/>
  <c r="B20" i="5" s="1"/>
  <c r="C20" i="5" l="1"/>
  <c r="D20" i="5" l="1"/>
  <c r="F20" i="5" s="1"/>
  <c r="B21" i="5" s="1"/>
  <c r="C21" i="5" l="1"/>
  <c r="D21" i="5" l="1"/>
  <c r="F21" i="5" s="1"/>
  <c r="B22" i="5" s="1"/>
  <c r="C22" i="5" l="1"/>
  <c r="D22" i="5" s="1"/>
  <c r="F22" i="5"/>
  <c r="B23" i="5" s="1"/>
  <c r="C23" i="5" l="1"/>
  <c r="D23" i="5" s="1"/>
  <c r="F23" i="5" s="1"/>
  <c r="B24" i="5" s="1"/>
  <c r="C24" i="5" l="1"/>
  <c r="D24" i="5" s="1"/>
  <c r="F24" i="5" s="1"/>
  <c r="B25" i="5" s="1"/>
  <c r="C25" i="5" l="1"/>
  <c r="D25" i="5" s="1"/>
  <c r="F25" i="5" s="1"/>
  <c r="B26" i="5" s="1"/>
  <c r="C26" i="5" l="1"/>
  <c r="D26" i="5" s="1"/>
  <c r="F26" i="5"/>
  <c r="B27" i="5" s="1"/>
  <c r="C27" i="5" l="1"/>
  <c r="D27" i="5" s="1"/>
  <c r="F27" i="5"/>
  <c r="B28" i="5" s="1"/>
  <c r="C28" i="5" l="1"/>
  <c r="D28" i="5" s="1"/>
  <c r="F28" i="5" s="1"/>
  <c r="B29" i="5" s="1"/>
  <c r="C29" i="5" l="1"/>
  <c r="D29" i="5" s="1"/>
  <c r="F29" i="5"/>
  <c r="B30" i="5" s="1"/>
  <c r="C30" i="5" l="1"/>
  <c r="D30" i="5" s="1"/>
  <c r="F30" i="5" s="1"/>
  <c r="B31" i="5" s="1"/>
  <c r="C31" i="5" l="1"/>
  <c r="D31" i="5" s="1"/>
  <c r="F31" i="5"/>
  <c r="B32" i="5" s="1"/>
  <c r="C32" i="5" l="1"/>
  <c r="D32" i="5" s="1"/>
  <c r="F32" i="5" s="1"/>
  <c r="B33" i="5" s="1"/>
  <c r="C33" i="5" l="1"/>
  <c r="D33" i="5" s="1"/>
  <c r="F33" i="5"/>
  <c r="B34" i="5" s="1"/>
  <c r="C34" i="5" l="1"/>
  <c r="D34" i="5" s="1"/>
  <c r="F34" i="5"/>
  <c r="B35" i="5" s="1"/>
  <c r="C35" i="5" l="1"/>
  <c r="D35" i="5" s="1"/>
  <c r="F35" i="5" s="1"/>
  <c r="B36" i="5" s="1"/>
  <c r="C36" i="5" l="1"/>
  <c r="D36" i="5" s="1"/>
  <c r="F36" i="5"/>
  <c r="B37" i="5" s="1"/>
  <c r="C37" i="5" l="1"/>
  <c r="D37" i="5" s="1"/>
  <c r="F37" i="5" s="1"/>
  <c r="B38" i="5" s="1"/>
  <c r="C38" i="5" l="1"/>
  <c r="D38" i="5" s="1"/>
  <c r="F38" i="5"/>
  <c r="B39" i="5" s="1"/>
  <c r="J24" i="4"/>
  <c r="C39" i="5" l="1"/>
  <c r="D39" i="5" s="1"/>
  <c r="F39" i="5" s="1"/>
  <c r="B40" i="5" s="1"/>
  <c r="L19" i="4"/>
  <c r="C7" i="4"/>
  <c r="E4" i="4"/>
  <c r="D17" i="4" s="1"/>
  <c r="C40" i="5" l="1"/>
  <c r="D18" i="4"/>
  <c r="D19" i="4" s="1"/>
  <c r="D20" i="4" s="1"/>
  <c r="D21" i="4" s="1"/>
  <c r="J17" i="4" s="1"/>
  <c r="F27" i="3"/>
  <c r="E23" i="3"/>
  <c r="C32" i="3"/>
  <c r="C31" i="3"/>
  <c r="C22" i="3"/>
  <c r="D4" i="3"/>
  <c r="B17" i="3"/>
  <c r="D8" i="3" s="1"/>
  <c r="D7" i="3"/>
  <c r="D40" i="5" l="1"/>
  <c r="F40" i="5" s="1"/>
  <c r="C41" i="5"/>
  <c r="D41" i="5" s="1"/>
  <c r="H23" i="5"/>
  <c r="H24" i="5" s="1"/>
  <c r="C23" i="3"/>
  <c r="C24" i="3" s="1"/>
  <c r="F20" i="2"/>
  <c r="A30" i="2"/>
  <c r="B36" i="2" s="1"/>
  <c r="A26" i="2"/>
  <c r="A20" i="2"/>
  <c r="E9" i="2"/>
  <c r="E10" i="2"/>
  <c r="D15" i="2" s="1"/>
  <c r="F21" i="2" s="1"/>
  <c r="G27" i="2" s="1"/>
  <c r="E8" i="2"/>
  <c r="D13" i="2" s="1"/>
  <c r="G26" i="2" s="1"/>
  <c r="F22" i="2" l="1"/>
  <c r="G28" i="2"/>
  <c r="E37" i="2" s="1"/>
  <c r="E38" i="2" s="1"/>
  <c r="H23" i="3"/>
  <c r="I27" i="3" s="1"/>
  <c r="C33" i="3"/>
</calcChain>
</file>

<file path=xl/comments1.xml><?xml version="1.0" encoding="utf-8"?>
<comments xmlns="http://schemas.openxmlformats.org/spreadsheetml/2006/main">
  <authors>
    <author>Hugo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</rPr>
          <t>Receita na venda dos produtos menos os tributos sobre o Lucro</t>
        </r>
      </text>
    </comment>
  </commentList>
</comments>
</file>

<file path=xl/sharedStrings.xml><?xml version="1.0" encoding="utf-8"?>
<sst xmlns="http://schemas.openxmlformats.org/spreadsheetml/2006/main" count="493" uniqueCount="423">
  <si>
    <t>Questão 1</t>
  </si>
  <si>
    <t>Letra B - relevância e representação fidedigna.</t>
  </si>
  <si>
    <t>Questão 2</t>
  </si>
  <si>
    <t>Letra D -  definir normas ou procedimentos para qualquer questão particular sobre aspectos de mensuração, divulgação ou de publicidade.</t>
  </si>
  <si>
    <t>Questão 3</t>
  </si>
  <si>
    <t xml:space="preserve">Letra C - ser capaz de fazer diferença nas decisões que possam ser tomadas pelos usuários. </t>
  </si>
  <si>
    <t>Mensuração de estoque CPC16</t>
  </si>
  <si>
    <r>
      <t xml:space="preserve">valor realizável líquido, </t>
    </r>
    <r>
      <rPr>
        <b/>
        <sz val="12"/>
        <color rgb="FFFF0000"/>
        <rFont val="Times New Roman"/>
        <family val="1"/>
      </rPr>
      <t>dos dois o menor.</t>
    </r>
  </si>
  <si>
    <t>Mercadoria</t>
  </si>
  <si>
    <t>A</t>
  </si>
  <si>
    <t>B</t>
  </si>
  <si>
    <t>C</t>
  </si>
  <si>
    <t>Custo de</t>
  </si>
  <si>
    <t>aquisição</t>
  </si>
  <si>
    <r>
      <t xml:space="preserve"> Item 9 - Os estoques objeto deste Pronunciamento</t>
    </r>
    <r>
      <rPr>
        <b/>
        <sz val="12"/>
        <color rgb="FFFF0000"/>
        <rFont val="Times New Roman"/>
        <family val="1"/>
      </rPr>
      <t xml:space="preserve"> devem ser mensurados</t>
    </r>
    <r>
      <rPr>
        <sz val="12"/>
        <color theme="1"/>
        <rFont val="Times New Roman"/>
        <family val="1"/>
      </rPr>
      <t xml:space="preserve"> pelo valor de custo ou pelo</t>
    </r>
  </si>
  <si>
    <t>Preço de</t>
  </si>
  <si>
    <t>venda</t>
  </si>
  <si>
    <t>vendas</t>
  </si>
  <si>
    <t>líquido</t>
  </si>
  <si>
    <t xml:space="preserve">Mercadoria A - Valor realizavel líquido </t>
  </si>
  <si>
    <t>perda estimada para redução ao valor realizável líquido</t>
  </si>
  <si>
    <t>Mercadoria B - valor de custo</t>
  </si>
  <si>
    <t>(=)Valor realizável</t>
  </si>
  <si>
    <t>(-) Gasto com</t>
  </si>
  <si>
    <t>Mercadoria C - valor realizável</t>
  </si>
  <si>
    <t>Contabilização</t>
  </si>
  <si>
    <t xml:space="preserve">Mercadoria A </t>
  </si>
  <si>
    <t>Perda estimada para...</t>
  </si>
  <si>
    <t xml:space="preserve"> </t>
  </si>
  <si>
    <t>Conta credora - redutora</t>
  </si>
  <si>
    <t>Mercadoria B</t>
  </si>
  <si>
    <t>Conta devodora (DR)</t>
  </si>
  <si>
    <t>Assim...</t>
  </si>
  <si>
    <t xml:space="preserve">Balanço Patrimonial </t>
  </si>
  <si>
    <t xml:space="preserve">Ativo Circulante </t>
  </si>
  <si>
    <t>Estoques</t>
  </si>
  <si>
    <t>(-) perda estimada para redução ao valor realizável líquido</t>
  </si>
  <si>
    <t>Saldo dos estoques em 31/12/2015</t>
  </si>
  <si>
    <t>Letra A</t>
  </si>
  <si>
    <t>Valor contábil do ativo</t>
  </si>
  <si>
    <t xml:space="preserve">(-) depreciação acumulada </t>
  </si>
  <si>
    <t>(=) valor contábil liquido</t>
  </si>
  <si>
    <r>
      <t xml:space="preserve">Valor recuperável do ativo - Valor líquido de venda e valor em uso </t>
    </r>
    <r>
      <rPr>
        <b/>
        <sz val="12"/>
        <color rgb="FFFF0000"/>
        <rFont val="Times New Roman"/>
        <family val="1"/>
      </rPr>
      <t>dos dois o maior</t>
    </r>
  </si>
  <si>
    <t>Valor líquido de  venda</t>
  </si>
  <si>
    <t>Valor em uso</t>
  </si>
  <si>
    <t>Fluxo de caixa líquido</t>
  </si>
  <si>
    <t>Período</t>
  </si>
  <si>
    <t xml:space="preserve">Fluxo de caixa estimado </t>
  </si>
  <si>
    <t>VP</t>
  </si>
  <si>
    <t xml:space="preserve">Taxa </t>
  </si>
  <si>
    <t>a.a</t>
  </si>
  <si>
    <t>Perda por desvalorização do ativo quando</t>
  </si>
  <si>
    <t>Valor contábil líquido for &gt; que seu valor recuperável</t>
  </si>
  <si>
    <t>Valor contábil liquido</t>
  </si>
  <si>
    <t>Valor recuperável</t>
  </si>
  <si>
    <t>Perda por desvalorização</t>
  </si>
  <si>
    <t>Ativo</t>
  </si>
  <si>
    <t>Depreciação acum.</t>
  </si>
  <si>
    <t>Perda p/ desvalorização</t>
  </si>
  <si>
    <t>Conta devedora (DR)</t>
  </si>
  <si>
    <t>Conta credora (BP)</t>
  </si>
  <si>
    <t>Balanço Patrimonial</t>
  </si>
  <si>
    <t>Imobizado</t>
  </si>
  <si>
    <t>(-) depreciação acumulada</t>
  </si>
  <si>
    <t>(-) perda por desvalorização</t>
  </si>
  <si>
    <t>Valor da máquina em 02/01/2015</t>
  </si>
  <si>
    <t>(+) gastos com a instalação</t>
  </si>
  <si>
    <t>(=) Valor contábil bruto do ativo</t>
  </si>
  <si>
    <t>Valor residual estimado</t>
  </si>
  <si>
    <t>Quando devo começar a depreciar o bem?</t>
  </si>
  <si>
    <t>SEGUNDO O CPC27 QUANDO O ATIVO TEM CONDIÇÕES DE USO</t>
  </si>
  <si>
    <t>Depreciação economica</t>
  </si>
  <si>
    <t>(-) Valor residual</t>
  </si>
  <si>
    <t>Depreciação ao mês</t>
  </si>
  <si>
    <t>Depreciação do período</t>
  </si>
  <si>
    <t>10 meses</t>
  </si>
  <si>
    <t>(=) Valor depreciável</t>
  </si>
  <si>
    <t xml:space="preserve">Perda por desvalorização </t>
  </si>
  <si>
    <t>Valor contábil líquido do ativo</t>
  </si>
  <si>
    <t>Valor líquido de venda</t>
  </si>
  <si>
    <t>Valor recuperável dos dois o maior</t>
  </si>
  <si>
    <t>Valor contábil líquido &gt; valor recuperável</t>
  </si>
  <si>
    <t>Vida útil em anos</t>
  </si>
  <si>
    <t>Vida útil em meses</t>
  </si>
  <si>
    <t xml:space="preserve"> na aquisição em 02/01/2015?</t>
  </si>
  <si>
    <t>quando o bem tem condições de uso em 01/03/2015?</t>
  </si>
  <si>
    <t>ou quando começou a ser utilizado na produção em 01/04/2015?</t>
  </si>
  <si>
    <t>Calculo de arrendamento mercantil financeiro</t>
  </si>
  <si>
    <t>Saldo</t>
  </si>
  <si>
    <t>Pagamento</t>
  </si>
  <si>
    <t>Saldo Final</t>
  </si>
  <si>
    <t>Dados:</t>
  </si>
  <si>
    <t>Inicial</t>
  </si>
  <si>
    <t>Despesa de juros</t>
  </si>
  <si>
    <t>Amortização</t>
  </si>
  <si>
    <t>Total de PMT</t>
  </si>
  <si>
    <t xml:space="preserve">Dívida </t>
  </si>
  <si>
    <t>Calculo do arrendamento</t>
  </si>
  <si>
    <t xml:space="preserve"> Calculo da depreciação</t>
  </si>
  <si>
    <t>Valor do arrendamento</t>
  </si>
  <si>
    <t>Valor contábil do bem</t>
  </si>
  <si>
    <t>Coeficiente do financiamento</t>
  </si>
  <si>
    <t>(-) valor residual</t>
  </si>
  <si>
    <t>Valor da prestação</t>
  </si>
  <si>
    <t>(=) Valor depreciavel</t>
  </si>
  <si>
    <t>Vida em meses</t>
  </si>
  <si>
    <t>Contabilização:</t>
  </si>
  <si>
    <t>Caixa e Equivalente Caixa</t>
  </si>
  <si>
    <t>Arrendamento a pagar a CP</t>
  </si>
  <si>
    <t>X</t>
  </si>
  <si>
    <t>Juros a apropriar a CP</t>
  </si>
  <si>
    <t>Arrendamento a pagar a LP</t>
  </si>
  <si>
    <t>Juros a apropriar a LP</t>
  </si>
  <si>
    <t>Despesa financeira</t>
  </si>
  <si>
    <t>Maquina ativo</t>
  </si>
  <si>
    <t>Depreciação</t>
  </si>
  <si>
    <t>Depreciação acumulada</t>
  </si>
  <si>
    <t>Totais</t>
  </si>
  <si>
    <t>Respostas R$850.000</t>
  </si>
  <si>
    <t xml:space="preserve">Letra A -  2, 3, 1. </t>
  </si>
  <si>
    <t>Letra D - I, II e III.  Item 10 do CPC 25 definições</t>
  </si>
  <si>
    <t>CIA ALFA S/A</t>
  </si>
  <si>
    <t xml:space="preserve">DEMONSTRAÇÃO DO RESULTADO </t>
  </si>
  <si>
    <t>PARA O EXERCÍCIO FINDO 31 DE DEZEMBRO DE 2015</t>
  </si>
  <si>
    <t xml:space="preserve">RECEITA LÍQUIDA </t>
  </si>
  <si>
    <t>(-) Custo do produto vendido</t>
  </si>
  <si>
    <t>LUCRO BRUTO</t>
  </si>
  <si>
    <t xml:space="preserve">(DESPESAS) E RECEITAS OPERACIONAIS </t>
  </si>
  <si>
    <t>Despesas com venda</t>
  </si>
  <si>
    <t xml:space="preserve">Despesas administrativas </t>
  </si>
  <si>
    <t xml:space="preserve">Resultado de equivalência patrimonial </t>
  </si>
  <si>
    <t>LUCRO OPERACIONAL ANTES DO RESULTADO FINANCEIRO</t>
  </si>
  <si>
    <t xml:space="preserve">Receitas financeiras </t>
  </si>
  <si>
    <t>Despesas financeiras</t>
  </si>
  <si>
    <t>LUCRO ANTES DO IMPOSTO DE RENDA E DA CSLL</t>
  </si>
  <si>
    <t xml:space="preserve">Imposto de renda e contribuição social </t>
  </si>
  <si>
    <t xml:space="preserve">LUCRO LÍQUIDO DO EXERCÍCIO </t>
  </si>
  <si>
    <t>DEMONSTRAÇÃO DO RESULTADO ABRANGENTE</t>
  </si>
  <si>
    <t>Outros resultados abrangentes</t>
  </si>
  <si>
    <t xml:space="preserve">Ajuste de avaliação patrimonial de IF disponíveis para venda </t>
  </si>
  <si>
    <t xml:space="preserve">(-) Tributos s/ ajuste de IF disponíveis para venda </t>
  </si>
  <si>
    <t>Equivalência patrimonial sobre resultados abrangentes de coligadas</t>
  </si>
  <si>
    <t>(=) RESULTADO ABRANGENTE DO PERÍODO, LÍQUIDO DOS EFEITOS TRIBUTÁRIOS</t>
  </si>
  <si>
    <t>Capital Social</t>
  </si>
  <si>
    <t>Reserva Legal</t>
  </si>
  <si>
    <t>Reserva para contingencia</t>
  </si>
  <si>
    <t>Lucros acumulados</t>
  </si>
  <si>
    <t>Clientes</t>
  </si>
  <si>
    <t>Tributos a recolher</t>
  </si>
  <si>
    <t>Reserva de Capital</t>
  </si>
  <si>
    <t>Gastos na emissão de ações</t>
  </si>
  <si>
    <t>Cx e equivalente de cx</t>
  </si>
  <si>
    <t>IF disponíveis para venda</t>
  </si>
  <si>
    <t>Ajuste de Valor Patrimonial</t>
  </si>
  <si>
    <t>Ganho na venda de IF</t>
  </si>
  <si>
    <t>Ações em tesouraria</t>
  </si>
  <si>
    <t>Dividendos obrigatórios</t>
  </si>
  <si>
    <t>Lucro líquido (ARE)</t>
  </si>
  <si>
    <t>IR/CSLL</t>
  </si>
  <si>
    <t>IR/CSLL a pagar</t>
  </si>
  <si>
    <t>Balancete de Verificação</t>
  </si>
  <si>
    <t>Débitos</t>
  </si>
  <si>
    <t>Créditos</t>
  </si>
  <si>
    <t>Dividendo adicional proposto</t>
  </si>
  <si>
    <t>Item 2</t>
  </si>
  <si>
    <t>Quantidade de ações</t>
  </si>
  <si>
    <t>Valor nominal</t>
  </si>
  <si>
    <t>Aumento de capital</t>
  </si>
  <si>
    <t>Preço de negociação</t>
  </si>
  <si>
    <t>Agio com a negociação ( reserva de capital)</t>
  </si>
  <si>
    <t>Custo de transação dessas ações</t>
  </si>
  <si>
    <t>BALANÇO PATRIMONIAL LEVANTADO EM 31 DE DEZEMBRO DE 2015</t>
  </si>
  <si>
    <t>ATIVOS</t>
  </si>
  <si>
    <t>PASSIVOS E PATRIMÔNIO LÍQUIDO</t>
  </si>
  <si>
    <t>CIRCULANTE</t>
  </si>
  <si>
    <t>Caixa e equivalente de caixa</t>
  </si>
  <si>
    <t>Tributos a Recolher</t>
  </si>
  <si>
    <t>Dividendos a pagar</t>
  </si>
  <si>
    <t>TOTAL CIRCULANTE</t>
  </si>
  <si>
    <t>PATRIMÔNIO LÍQUIDO</t>
  </si>
  <si>
    <t>(-) Ações em tesouraria</t>
  </si>
  <si>
    <t>Reservas de Lucros</t>
  </si>
  <si>
    <t>Dividendo Adicional Proposto</t>
  </si>
  <si>
    <t>Ajuste de Avaliação Patrimonial</t>
  </si>
  <si>
    <t>TOTAL DO PATRIMÔNIO LÍQUIDO</t>
  </si>
  <si>
    <t>TOTAL DOS ATIVOS</t>
  </si>
  <si>
    <t>TOTAL DOS PASSIVOS E PL</t>
  </si>
  <si>
    <t>Demonstração da mutação do patrimônio líquido ( CPC 26)</t>
  </si>
  <si>
    <t>Item</t>
  </si>
  <si>
    <t>Capital</t>
  </si>
  <si>
    <t xml:space="preserve">Reserva de </t>
  </si>
  <si>
    <t>Reserva de</t>
  </si>
  <si>
    <t>Dividendo Ad.</t>
  </si>
  <si>
    <t>Lucros ou</t>
  </si>
  <si>
    <t>Outros resul.</t>
  </si>
  <si>
    <t>Total do</t>
  </si>
  <si>
    <t>Social</t>
  </si>
  <si>
    <t>Lucros</t>
  </si>
  <si>
    <t>Proposto</t>
  </si>
  <si>
    <t>Prej acum</t>
  </si>
  <si>
    <t>abrang.</t>
  </si>
  <si>
    <t>PL</t>
  </si>
  <si>
    <t>Saldos em 31/12/2014</t>
  </si>
  <si>
    <t>Ajustes de exercícios anteriores</t>
  </si>
  <si>
    <t>Correção de erros em clientes</t>
  </si>
  <si>
    <t>Saldos ajustados em 31/12/2014</t>
  </si>
  <si>
    <t>Gastos com emissão de ações</t>
  </si>
  <si>
    <t>Destinação de dividendos</t>
  </si>
  <si>
    <t>Resultado abrangente total</t>
  </si>
  <si>
    <t>Lucro do período</t>
  </si>
  <si>
    <t>Ajuste de instrumentos financeiros</t>
  </si>
  <si>
    <t>Reclassificação de instrumentos financeiros</t>
  </si>
  <si>
    <t>Mutações internas do PL</t>
  </si>
  <si>
    <t>Constituição de reserva de lucros</t>
  </si>
  <si>
    <t>Reversão de Reversa</t>
  </si>
  <si>
    <t>Saldo em 31/12/2015</t>
  </si>
  <si>
    <t>Detalhamento de Reserva de Capital</t>
  </si>
  <si>
    <t>Àgio na</t>
  </si>
  <si>
    <t>(-) Gastos com</t>
  </si>
  <si>
    <t xml:space="preserve">Ações em </t>
  </si>
  <si>
    <t>Dividendos</t>
  </si>
  <si>
    <t>Total</t>
  </si>
  <si>
    <t>emissão de</t>
  </si>
  <si>
    <t>tesouraria</t>
  </si>
  <si>
    <t>adicionais</t>
  </si>
  <si>
    <t>ações</t>
  </si>
  <si>
    <t>propostos</t>
  </si>
  <si>
    <t>Àgio na emissão de ações</t>
  </si>
  <si>
    <t>(-) Gastos na emissão de ações</t>
  </si>
  <si>
    <t>Dividendos adicionais propostos</t>
  </si>
  <si>
    <t>Saldos em 31/12/2015</t>
  </si>
  <si>
    <t>Detalhamento de Reserva de Lucros</t>
  </si>
  <si>
    <t>Legal</t>
  </si>
  <si>
    <t>Contingência</t>
  </si>
  <si>
    <t>lucros para</t>
  </si>
  <si>
    <t>Estatutária</t>
  </si>
  <si>
    <t>expansão</t>
  </si>
  <si>
    <t>Reversão da reserva</t>
  </si>
  <si>
    <t>Destinação para reserva de lucros</t>
  </si>
  <si>
    <t>Detalhamento de outros resultados abrangentes</t>
  </si>
  <si>
    <t>Ajust Aval Patr.</t>
  </si>
  <si>
    <t>Variação de valor justo de IF DV</t>
  </si>
  <si>
    <t>Reclassificação para resultado de IF DV</t>
  </si>
  <si>
    <t>Calculo do empréstimo</t>
  </si>
  <si>
    <t>Valor do empréstimo</t>
  </si>
  <si>
    <t>Coeficiente de Financiamento</t>
  </si>
  <si>
    <t xml:space="preserve">Outras informações </t>
  </si>
  <si>
    <t>Recebimento das vendas</t>
  </si>
  <si>
    <t>Dividendos Pagos</t>
  </si>
  <si>
    <t>JSCP</t>
  </si>
  <si>
    <t>Instalações</t>
  </si>
  <si>
    <t>Receita financeira</t>
  </si>
  <si>
    <t>Segundo o CPC juros pagos e recebidos atividades operacionais</t>
  </si>
  <si>
    <t>Dividendos pagos e JSCP atividade de financiamento</t>
  </si>
  <si>
    <t xml:space="preserve">DEMONSTRAÇÃO DE FLUXO DE CAIXA </t>
  </si>
  <si>
    <t>ATIVIDADES OPERACIONAIS</t>
  </si>
  <si>
    <t>Pagamento de juros</t>
  </si>
  <si>
    <t>Caixa gerado nas atividades operacionais</t>
  </si>
  <si>
    <t>ATIVIDADES DE INVESTIMENTO</t>
  </si>
  <si>
    <t>Pagamento pela aquisição do imobilizado</t>
  </si>
  <si>
    <t>Caixa consumido nas atividades investimento</t>
  </si>
  <si>
    <t>ATIVIDADES DE FINANCIAMENTO</t>
  </si>
  <si>
    <t>Aquisição de empréstimos</t>
  </si>
  <si>
    <t>Pagamento do empréstimo</t>
  </si>
  <si>
    <t>Pagamento de dividendos</t>
  </si>
  <si>
    <t>Pagamento de JSCP</t>
  </si>
  <si>
    <t>Caixa gerado nas atividades financiamento</t>
  </si>
  <si>
    <t>Variação de Caixa e equivalente de caixa</t>
  </si>
  <si>
    <t>(+) Saldo de Cx e equivalente de caixa anterior</t>
  </si>
  <si>
    <t>(=) Saldo de Cx e equivalente de caixa atual</t>
  </si>
  <si>
    <t>PARA O EXERCÍCIO FINDO EM 31 DE DEZEMBRO DE 2015</t>
  </si>
  <si>
    <t>COMPANHIA ALFA</t>
  </si>
  <si>
    <t>Balanço Patrimonial em 31/12/2015 e 31/12/2014 ( em milhares de $)</t>
  </si>
  <si>
    <t>Variação</t>
  </si>
  <si>
    <t>Passivo e PL</t>
  </si>
  <si>
    <t>Circulante</t>
  </si>
  <si>
    <t>Fornecedores</t>
  </si>
  <si>
    <t>Investimentos financeiros</t>
  </si>
  <si>
    <t>Empréstimos</t>
  </si>
  <si>
    <t>Imobilizado a pagar</t>
  </si>
  <si>
    <t>Estoque - materia prima</t>
  </si>
  <si>
    <t>Tributos a pagar</t>
  </si>
  <si>
    <t>IR/CS a pagar</t>
  </si>
  <si>
    <t>Total do circulante</t>
  </si>
  <si>
    <t>Outras contas a pagar</t>
  </si>
  <si>
    <t>Não circulante</t>
  </si>
  <si>
    <t>Investimentos</t>
  </si>
  <si>
    <t>Emprestimos partes relacionadas</t>
  </si>
  <si>
    <t>Imobilizados</t>
  </si>
  <si>
    <t>Patrimônio líquido</t>
  </si>
  <si>
    <t>(-) Depreciação acumulada</t>
  </si>
  <si>
    <t>(-) Perda por desvalorização</t>
  </si>
  <si>
    <t>Reserva de Lucros</t>
  </si>
  <si>
    <t>Total do Patrimônio líquido</t>
  </si>
  <si>
    <t>Total do ativo</t>
  </si>
  <si>
    <t>Total do passivo e PL</t>
  </si>
  <si>
    <t>Demonstração do Resultado do exercício de 2015 ( em milhares de reais)</t>
  </si>
  <si>
    <t>Receita Bruta de vendas</t>
  </si>
  <si>
    <t>(-) Tributos sobre  vendas</t>
  </si>
  <si>
    <t>(=) Receita líquida de vendas</t>
  </si>
  <si>
    <t>(=) Lucro Bruto</t>
  </si>
  <si>
    <t>(-) despesas gerais</t>
  </si>
  <si>
    <t>(-) perda por impairment</t>
  </si>
  <si>
    <t>(-) Perda na baixa do imobilizado</t>
  </si>
  <si>
    <t>(+) Ganho no MPE</t>
  </si>
  <si>
    <t>Lucro antes do efeito financeiro</t>
  </si>
  <si>
    <t>(+) Receita financeira</t>
  </si>
  <si>
    <t>(-) despesas financeiras</t>
  </si>
  <si>
    <t>(=) Lucro antes do IR/CS</t>
  </si>
  <si>
    <t>(-)  IR/CS</t>
  </si>
  <si>
    <t>(=) Lucro líquido do periodo</t>
  </si>
  <si>
    <t>Demonstração de Fluxo de caixa pelo métódo indireto</t>
  </si>
  <si>
    <t>Lucro líquido do exercício</t>
  </si>
  <si>
    <t>(+/-) Ajustes do resultado</t>
  </si>
  <si>
    <t>(+) Depreciação</t>
  </si>
  <si>
    <t>(+) Perda por impairment</t>
  </si>
  <si>
    <t>(+) Perda por baixa de imobilizado</t>
  </si>
  <si>
    <t>(-) Receita financeira capitalizada (não recebida)</t>
  </si>
  <si>
    <t>(-) Ganho na equivalência patrimonial</t>
  </si>
  <si>
    <t>(=) Lucro ajustado ( lucro efetivo)</t>
  </si>
  <si>
    <t>(+/-) Variações dos ativos e passivos operacionais</t>
  </si>
  <si>
    <t>Aumento de Clientes</t>
  </si>
  <si>
    <t>Aumento dos Estoques</t>
  </si>
  <si>
    <t>Diminuição dos Fornecedores</t>
  </si>
  <si>
    <t>Diminuição de Tributos a pagar</t>
  </si>
  <si>
    <t>Diminuição da IR/CS a pagar</t>
  </si>
  <si>
    <t>Diminuição de outras contas a pagar</t>
  </si>
  <si>
    <t>(=) Caixa gerado nas atividades operacionais</t>
  </si>
  <si>
    <t>Recebimento pela venda de imobilizado</t>
  </si>
  <si>
    <t>Pagamento pela aquisição de imobilizados</t>
  </si>
  <si>
    <t>Aplicação financeira em CDB</t>
  </si>
  <si>
    <t>(=) Caixa consumido nas atividades de investimento</t>
  </si>
  <si>
    <t>Obtenção de empréstimo</t>
  </si>
  <si>
    <t>Aumento de capital, em dinheiro</t>
  </si>
  <si>
    <t>Pagamento de empréstimo (amortização)</t>
  </si>
  <si>
    <t>Pagamento de dividendos a acionistas</t>
  </si>
  <si>
    <t>(=)  Caixa gerado nas atividades de financiamento</t>
  </si>
  <si>
    <t>Variação de caixa e equivalentes de caixa do período</t>
  </si>
  <si>
    <t>(+) Saldo inicial de caixa e equivalentes de caixa</t>
  </si>
  <si>
    <t>(=) Saldo final de caixa e equivalentes de caixa</t>
  </si>
  <si>
    <t>Atividade 11</t>
  </si>
  <si>
    <t>Demostração do Resultado do exercício em 31/12/2015</t>
  </si>
  <si>
    <t>Receita líquida de vendas</t>
  </si>
  <si>
    <t>(-) Custos das vendas</t>
  </si>
  <si>
    <t>(=) Resultado Bruto</t>
  </si>
  <si>
    <t>(-) despesas administrativas e de vendas</t>
  </si>
  <si>
    <t>(+) Receita de equivalência patrimonial</t>
  </si>
  <si>
    <t>(+) Receita de dividendos</t>
  </si>
  <si>
    <t>(-) Prejuízo na venda de imobilizado</t>
  </si>
  <si>
    <t>(-) Perda  por desvalorização de ativos</t>
  </si>
  <si>
    <t>(=) Resultado antes das receitas e despesas financeiras</t>
  </si>
  <si>
    <t>(-) Resultado financeiro líquido</t>
  </si>
  <si>
    <t>(=) Resultado antes dos tributos sobre o resultado</t>
  </si>
  <si>
    <t>(-) Despesa corrente IR/CSLL</t>
  </si>
  <si>
    <t>(=) Resultado líquido do exercício</t>
  </si>
  <si>
    <t>Dados adicionais extraídos da escrituração contábil</t>
  </si>
  <si>
    <t>a)</t>
  </si>
  <si>
    <t>Faturamento bruto</t>
  </si>
  <si>
    <t>ICMS s/ vendas</t>
  </si>
  <si>
    <t>Pis/cofins s/ venda</t>
  </si>
  <si>
    <t xml:space="preserve">b) </t>
  </si>
  <si>
    <t>Valor das mercadorias adquiridas</t>
  </si>
  <si>
    <t>ICMS recuperáveis</t>
  </si>
  <si>
    <t>Pis e Cofins</t>
  </si>
  <si>
    <t>c)</t>
  </si>
  <si>
    <t>A composição das despesas administrativas e de vendas</t>
  </si>
  <si>
    <t xml:space="preserve">Serviços de terceiros </t>
  </si>
  <si>
    <t>Despesa com perdas estimadas com créditos de liq duvidosa</t>
  </si>
  <si>
    <t>Despesa de depreciação</t>
  </si>
  <si>
    <t>Despesa com salários e encargos sociais</t>
  </si>
  <si>
    <t>Despesa com INSS</t>
  </si>
  <si>
    <t>d)</t>
  </si>
  <si>
    <t>Receitas financeiras da empresa</t>
  </si>
  <si>
    <t>Despesas financeiras da empresa</t>
  </si>
  <si>
    <t xml:space="preserve">e) </t>
  </si>
  <si>
    <t xml:space="preserve">Do resultado do exercício a empresa destinou dividendos obrigatórios de </t>
  </si>
  <si>
    <t>Demonstração do Valor Adicionado</t>
  </si>
  <si>
    <t>1 – RECEITAS</t>
  </si>
  <si>
    <t>Vendas de mercadorias, produtos e serviços</t>
  </si>
  <si>
    <t xml:space="preserve">(-) Prejuízo na venda de imobilizado </t>
  </si>
  <si>
    <t>(-) Perdas para créditos de liquidação duvidosa – Reversão / (Constituição)</t>
  </si>
  <si>
    <t xml:space="preserve">2 – INSUMOS ADQUIRIDOS DE TERCEIROS     </t>
  </si>
  <si>
    <t xml:space="preserve">(-) Custos dos produtos, das mercadorias e dos serviços vendidos </t>
  </si>
  <si>
    <t xml:space="preserve">(-) Materiais, energia, serviços de terceiros e outros </t>
  </si>
  <si>
    <t>(-) Perda por desvalorização dos ativos</t>
  </si>
  <si>
    <t>3 – VALOR ADICIONADO BRUTO (1-2)</t>
  </si>
  <si>
    <t>4 – DEPRECIAÇÃO, AMORTIZAÇÃO E EXAUSTÃO</t>
  </si>
  <si>
    <t>5 – VALOR ADICIONADO LÍQUIDO PRODUZIDO PELA ENTIDADE (3-4)</t>
  </si>
  <si>
    <t>6 – VALOR ADICIONADO RECEBIDO EM TRANSFERÊNCIA</t>
  </si>
  <si>
    <t>Resultado de equivalência patrimonial</t>
  </si>
  <si>
    <t>Receitas financeiras</t>
  </si>
  <si>
    <t>Receita de dividendos</t>
  </si>
  <si>
    <t>7 – VALOR ADICIONADO TOTAL A DISTRIBUIR (5+6)</t>
  </si>
  <si>
    <t>8 – DISTRIBUIÇÃO DO VALOR ADICIONADO</t>
  </si>
  <si>
    <t>Pessoal</t>
  </si>
  <si>
    <t>Remuneração direta + Benefícios</t>
  </si>
  <si>
    <t>Impostos, taxas e contribuições</t>
  </si>
  <si>
    <t xml:space="preserve">Federais </t>
  </si>
  <si>
    <t>IPPJ E CSLL</t>
  </si>
  <si>
    <t>INSS</t>
  </si>
  <si>
    <t>PIS  COFINS</t>
  </si>
  <si>
    <t>Estaduais</t>
  </si>
  <si>
    <t>ICMS</t>
  </si>
  <si>
    <t>Municipais</t>
  </si>
  <si>
    <t>Remuneração de capitais de terceiros</t>
  </si>
  <si>
    <t xml:space="preserve">Juros </t>
  </si>
  <si>
    <t xml:space="preserve">Aluguéis </t>
  </si>
  <si>
    <t>Outras</t>
  </si>
  <si>
    <t>Remuneração de capitais próprios</t>
  </si>
  <si>
    <t>Juros sobre o capital próprio</t>
  </si>
  <si>
    <t>Dividendos propostos</t>
  </si>
  <si>
    <t>Lucros retidos</t>
  </si>
  <si>
    <t>Participação dos não-controladores nos lucros retidos (só p/ consolidação)</t>
  </si>
  <si>
    <t>O total do item 8 deve ser exatamente ao item 7</t>
  </si>
  <si>
    <t>Atividade 01</t>
  </si>
  <si>
    <t>Atividade 02</t>
  </si>
  <si>
    <t>Atividade 03</t>
  </si>
  <si>
    <t>Atividade 04</t>
  </si>
  <si>
    <t>Atividade 05</t>
  </si>
  <si>
    <t>Atividade 06</t>
  </si>
  <si>
    <t>Atividade 07</t>
  </si>
  <si>
    <t>Atividade 08</t>
  </si>
  <si>
    <t>Atividade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</si>
</sst>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b/>
      <sz val="9"/>
      <color indexed="81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4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44" fontId="2" fillId="0" borderId="8" xfId="1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44" fontId="2" fillId="0" borderId="11" xfId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 applyAlignment="1">
      <alignment horizontal="center"/>
    </xf>
    <xf numFmtId="44" fontId="2" fillId="0" borderId="9" xfId="0" applyNumberFormat="1" applyFont="1" applyBorder="1"/>
    <xf numFmtId="44" fontId="2" fillId="0" borderId="8" xfId="0" applyNumberFormat="1" applyFont="1" applyBorder="1"/>
    <xf numFmtId="44" fontId="2" fillId="0" borderId="11" xfId="0" applyNumberFormat="1" applyFont="1" applyBorder="1"/>
    <xf numFmtId="44" fontId="2" fillId="0" borderId="0" xfId="0" applyNumberFormat="1" applyFont="1"/>
    <xf numFmtId="44" fontId="5" fillId="2" borderId="0" xfId="0" applyNumberFormat="1" applyFont="1" applyFill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4" fontId="2" fillId="0" borderId="2" xfId="0" applyNumberFormat="1" applyFont="1" applyBorder="1"/>
    <xf numFmtId="44" fontId="2" fillId="0" borderId="4" xfId="0" applyNumberFormat="1" applyFont="1" applyBorder="1"/>
    <xf numFmtId="44" fontId="3" fillId="2" borderId="0" xfId="0" applyNumberFormat="1" applyFont="1" applyFill="1"/>
    <xf numFmtId="44" fontId="2" fillId="0" borderId="7" xfId="0" applyNumberFormat="1" applyFont="1" applyBorder="1"/>
    <xf numFmtId="44" fontId="5" fillId="2" borderId="7" xfId="0" applyNumberFormat="1" applyFont="1" applyFill="1" applyBorder="1"/>
    <xf numFmtId="44" fontId="2" fillId="0" borderId="0" xfId="1" applyFont="1"/>
    <xf numFmtId="0" fontId="3" fillId="2" borderId="0" xfId="0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6" fontId="2" fillId="0" borderId="0" xfId="0" applyNumberFormat="1" applyFont="1"/>
    <xf numFmtId="164" fontId="3" fillId="2" borderId="0" xfId="1" applyNumberFormat="1" applyFont="1" applyFill="1"/>
    <xf numFmtId="6" fontId="3" fillId="2" borderId="0" xfId="0" applyNumberFormat="1" applyFont="1" applyFill="1"/>
    <xf numFmtId="164" fontId="2" fillId="0" borderId="0" xfId="0" applyNumberFormat="1" applyFont="1"/>
    <xf numFmtId="164" fontId="3" fillId="2" borderId="0" xfId="0" applyNumberFormat="1" applyFont="1" applyFill="1"/>
    <xf numFmtId="164" fontId="2" fillId="0" borderId="2" xfId="0" applyNumberFormat="1" applyFont="1" applyBorder="1"/>
    <xf numFmtId="164" fontId="2" fillId="0" borderId="4" xfId="0" applyNumberFormat="1" applyFont="1" applyBorder="1"/>
    <xf numFmtId="44" fontId="2" fillId="0" borderId="0" xfId="1" applyFont="1" applyAlignment="1">
      <alignment horizontal="center"/>
    </xf>
    <xf numFmtId="44" fontId="3" fillId="0" borderId="0" xfId="0" applyNumberFormat="1" applyFont="1"/>
    <xf numFmtId="9" fontId="2" fillId="0" borderId="0" xfId="0" applyNumberFormat="1" applyFont="1"/>
    <xf numFmtId="0" fontId="2" fillId="0" borderId="0" xfId="0" applyFont="1" applyAlignment="1"/>
    <xf numFmtId="0" fontId="7" fillId="0" borderId="0" xfId="0" applyFont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/>
    </xf>
    <xf numFmtId="44" fontId="7" fillId="3" borderId="1" xfId="0" applyNumberFormat="1" applyFont="1" applyFill="1" applyBorder="1" applyAlignment="1">
      <alignment horizontal="center"/>
    </xf>
    <xf numFmtId="44" fontId="6" fillId="3" borderId="11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0" xfId="0" applyFont="1" applyFill="1" applyBorder="1" applyAlignment="1"/>
    <xf numFmtId="44" fontId="7" fillId="0" borderId="0" xfId="1" applyFont="1"/>
    <xf numFmtId="44" fontId="7" fillId="0" borderId="0" xfId="0" applyNumberFormat="1" applyFont="1"/>
    <xf numFmtId="44" fontId="7" fillId="3" borderId="10" xfId="1" applyFont="1" applyFill="1" applyBorder="1" applyAlignment="1">
      <alignment horizontal="center"/>
    </xf>
    <xf numFmtId="44" fontId="6" fillId="0" borderId="0" xfId="0" applyNumberFormat="1" applyFont="1"/>
    <xf numFmtId="0" fontId="6" fillId="0" borderId="9" xfId="0" applyFont="1" applyBorder="1" applyAlignment="1"/>
    <xf numFmtId="0" fontId="6" fillId="0" borderId="0" xfId="0" applyFont="1" applyAlignment="1"/>
    <xf numFmtId="44" fontId="7" fillId="0" borderId="2" xfId="0" applyNumberFormat="1" applyFont="1" applyBorder="1" applyAlignment="1">
      <alignment horizontal="center"/>
    </xf>
    <xf numFmtId="44" fontId="7" fillId="0" borderId="4" xfId="0" applyNumberFormat="1" applyFont="1" applyBorder="1" applyAlignment="1"/>
    <xf numFmtId="0" fontId="7" fillId="0" borderId="0" xfId="0" applyFont="1" applyBorder="1"/>
    <xf numFmtId="44" fontId="7" fillId="0" borderId="2" xfId="0" applyNumberFormat="1" applyFont="1" applyBorder="1" applyAlignment="1"/>
    <xf numFmtId="44" fontId="7" fillId="0" borderId="7" xfId="0" applyNumberFormat="1" applyFont="1" applyBorder="1"/>
    <xf numFmtId="44" fontId="7" fillId="0" borderId="9" xfId="0" applyNumberFormat="1" applyFont="1" applyBorder="1"/>
    <xf numFmtId="44" fontId="7" fillId="0" borderId="9" xfId="0" applyNumberFormat="1" applyFont="1" applyFill="1" applyBorder="1"/>
    <xf numFmtId="0" fontId="7" fillId="0" borderId="7" xfId="0" applyFont="1" applyBorder="1"/>
    <xf numFmtId="0" fontId="7" fillId="0" borderId="9" xfId="0" applyFont="1" applyBorder="1"/>
    <xf numFmtId="44" fontId="7" fillId="2" borderId="9" xfId="0" applyNumberFormat="1" applyFont="1" applyFill="1" applyBorder="1"/>
    <xf numFmtId="44" fontId="7" fillId="0" borderId="7" xfId="0" applyNumberFormat="1" applyFont="1" applyFill="1" applyBorder="1"/>
    <xf numFmtId="44" fontId="7" fillId="2" borderId="7" xfId="0" applyNumberFormat="1" applyFont="1" applyFill="1" applyBorder="1"/>
    <xf numFmtId="0" fontId="7" fillId="0" borderId="4" xfId="0" applyFont="1" applyBorder="1" applyAlignment="1"/>
    <xf numFmtId="0" fontId="7" fillId="3" borderId="16" xfId="0" applyFont="1" applyFill="1" applyBorder="1" applyAlignment="1">
      <alignment horizontal="center"/>
    </xf>
    <xf numFmtId="44" fontId="7" fillId="0" borderId="2" xfId="0" applyNumberFormat="1" applyFont="1" applyFill="1" applyBorder="1" applyAlignment="1"/>
    <xf numFmtId="44" fontId="7" fillId="3" borderId="7" xfId="0" applyNumberFormat="1" applyFont="1" applyFill="1" applyBorder="1"/>
    <xf numFmtId="44" fontId="7" fillId="3" borderId="9" xfId="0" applyNumberFormat="1" applyFont="1" applyFill="1" applyBorder="1"/>
    <xf numFmtId="0" fontId="5" fillId="0" borderId="16" xfId="0" applyFont="1" applyBorder="1"/>
    <xf numFmtId="44" fontId="5" fillId="0" borderId="16" xfId="0" applyNumberFormat="1" applyFont="1" applyBorder="1"/>
    <xf numFmtId="44" fontId="5" fillId="0" borderId="16" xfId="1" applyFont="1" applyBorder="1"/>
    <xf numFmtId="0" fontId="6" fillId="0" borderId="16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44" fontId="3" fillId="0" borderId="7" xfId="1" applyFont="1" applyBorder="1"/>
    <xf numFmtId="44" fontId="2" fillId="0" borderId="17" xfId="0" applyNumberFormat="1" applyFont="1" applyBorder="1"/>
    <xf numFmtId="44" fontId="2" fillId="0" borderId="7" xfId="1" applyFont="1" applyBorder="1"/>
    <xf numFmtId="44" fontId="3" fillId="0" borderId="7" xfId="0" applyNumberFormat="1" applyFont="1" applyBorder="1"/>
    <xf numFmtId="44" fontId="3" fillId="2" borderId="9" xfId="0" applyNumberFormat="1" applyFont="1" applyFill="1" applyBorder="1"/>
    <xf numFmtId="44" fontId="3" fillId="0" borderId="0" xfId="0" applyNumberFormat="1" applyFont="1" applyBorder="1"/>
    <xf numFmtId="44" fontId="2" fillId="0" borderId="0" xfId="0" applyNumberFormat="1" applyFont="1" applyBorder="1"/>
    <xf numFmtId="44" fontId="3" fillId="2" borderId="2" xfId="0" applyNumberFormat="1" applyFont="1" applyFill="1" applyBorder="1"/>
    <xf numFmtId="44" fontId="3" fillId="2" borderId="4" xfId="0" applyNumberFormat="1" applyFont="1" applyFill="1" applyBorder="1"/>
    <xf numFmtId="44" fontId="3" fillId="2" borderId="2" xfId="1" applyFont="1" applyFill="1" applyBorder="1"/>
    <xf numFmtId="0" fontId="11" fillId="0" borderId="0" xfId="0" applyFont="1" applyAlignment="1">
      <alignment horizontal="center"/>
    </xf>
    <xf numFmtId="44" fontId="7" fillId="0" borderId="2" xfId="1" applyFont="1" applyBorder="1" applyAlignment="1">
      <alignment horizontal="center"/>
    </xf>
    <xf numFmtId="44" fontId="2" fillId="0" borderId="9" xfId="1" applyFont="1" applyBorder="1"/>
    <xf numFmtId="44" fontId="3" fillId="2" borderId="7" xfId="0" applyNumberFormat="1" applyFont="1" applyFill="1" applyBorder="1"/>
    <xf numFmtId="44" fontId="2" fillId="0" borderId="0" xfId="1" applyFont="1" applyBorder="1"/>
    <xf numFmtId="0" fontId="6" fillId="2" borderId="0" xfId="0" applyFont="1" applyFill="1"/>
    <xf numFmtId="44" fontId="6" fillId="2" borderId="0" xfId="0" applyNumberFormat="1" applyFont="1" applyFill="1"/>
    <xf numFmtId="44" fontId="7" fillId="0" borderId="0" xfId="1" applyFont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9" xfId="0" applyFont="1" applyBorder="1"/>
    <xf numFmtId="44" fontId="7" fillId="0" borderId="20" xfId="0" applyNumberFormat="1" applyFont="1" applyBorder="1"/>
    <xf numFmtId="0" fontId="2" fillId="0" borderId="19" xfId="0" applyFont="1" applyBorder="1" applyAlignment="1"/>
    <xf numFmtId="44" fontId="7" fillId="0" borderId="21" xfId="0" applyNumberFormat="1" applyFont="1" applyBorder="1"/>
    <xf numFmtId="44" fontId="2" fillId="0" borderId="20" xfId="0" applyNumberFormat="1" applyFont="1" applyBorder="1" applyAlignment="1"/>
    <xf numFmtId="0" fontId="6" fillId="0" borderId="19" xfId="0" applyFont="1" applyBorder="1"/>
    <xf numFmtId="44" fontId="6" fillId="0" borderId="20" xfId="0" applyNumberFormat="1" applyFont="1" applyBorder="1"/>
    <xf numFmtId="44" fontId="6" fillId="0" borderId="21" xfId="0" applyNumberFormat="1" applyFont="1" applyBorder="1"/>
    <xf numFmtId="0" fontId="7" fillId="0" borderId="20" xfId="0" applyFont="1" applyBorder="1"/>
    <xf numFmtId="0" fontId="7" fillId="0" borderId="21" xfId="0" applyFont="1" applyBorder="1"/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4" fontId="7" fillId="0" borderId="26" xfId="1" applyFont="1" applyBorder="1" applyAlignment="1">
      <alignment horizontal="center"/>
    </xf>
    <xf numFmtId="0" fontId="6" fillId="0" borderId="0" xfId="0" applyFont="1" applyBorder="1"/>
    <xf numFmtId="44" fontId="7" fillId="0" borderId="0" xfId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4" xfId="0" applyFont="1" applyBorder="1"/>
    <xf numFmtId="44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6" xfId="0" applyNumberFormat="1" applyFont="1" applyBorder="1"/>
    <xf numFmtId="0" fontId="7" fillId="0" borderId="26" xfId="0" applyFont="1" applyBorder="1"/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/>
    <xf numFmtId="44" fontId="7" fillId="0" borderId="26" xfId="1" applyFont="1" applyBorder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Fill="1" applyBorder="1" applyAlignment="1"/>
    <xf numFmtId="0" fontId="7" fillId="4" borderId="11" xfId="0" applyFont="1" applyFill="1" applyBorder="1" applyAlignment="1">
      <alignment horizontal="center" vertical="center"/>
    </xf>
    <xf numFmtId="44" fontId="7" fillId="4" borderId="10" xfId="1" applyFont="1" applyFill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/>
    </xf>
    <xf numFmtId="44" fontId="6" fillId="4" borderId="1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3" borderId="0" xfId="0" applyFont="1" applyFill="1"/>
    <xf numFmtId="44" fontId="6" fillId="3" borderId="0" xfId="0" applyNumberFormat="1" applyFont="1" applyFill="1"/>
    <xf numFmtId="0" fontId="7" fillId="3" borderId="0" xfId="0" applyFont="1" applyFill="1"/>
    <xf numFmtId="44" fontId="7" fillId="3" borderId="0" xfId="0" applyNumberFormat="1" applyFont="1" applyFill="1"/>
    <xf numFmtId="44" fontId="6" fillId="3" borderId="0" xfId="1" applyFont="1" applyFill="1"/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4" fontId="7" fillId="0" borderId="19" xfId="1" applyFont="1" applyBorder="1"/>
    <xf numFmtId="0" fontId="6" fillId="0" borderId="20" xfId="0" applyFont="1" applyBorder="1"/>
    <xf numFmtId="44" fontId="6" fillId="0" borderId="26" xfId="1" applyFont="1" applyBorder="1" applyAlignment="1">
      <alignment horizontal="center"/>
    </xf>
    <xf numFmtId="44" fontId="6" fillId="0" borderId="19" xfId="1" applyFont="1" applyBorder="1"/>
    <xf numFmtId="44" fontId="6" fillId="0" borderId="26" xfId="0" applyNumberFormat="1" applyFont="1" applyBorder="1"/>
    <xf numFmtId="0" fontId="6" fillId="0" borderId="21" xfId="0" applyFont="1" applyBorder="1"/>
    <xf numFmtId="44" fontId="6" fillId="0" borderId="0" xfId="0" applyNumberFormat="1" applyFont="1" applyBorder="1"/>
    <xf numFmtId="44" fontId="6" fillId="0" borderId="0" xfId="1" applyFont="1" applyBorder="1"/>
    <xf numFmtId="44" fontId="7" fillId="0" borderId="0" xfId="0" applyNumberFormat="1" applyFont="1" applyBorder="1"/>
    <xf numFmtId="0" fontId="7" fillId="0" borderId="18" xfId="0" applyFont="1" applyBorder="1" applyAlignment="1"/>
    <xf numFmtId="0" fontId="7" fillId="0" borderId="0" xfId="0" applyFont="1" applyBorder="1" applyAlignment="1"/>
    <xf numFmtId="44" fontId="7" fillId="0" borderId="0" xfId="1" applyFont="1" applyBorder="1"/>
    <xf numFmtId="43" fontId="7" fillId="0" borderId="19" xfId="2" applyFont="1" applyBorder="1"/>
    <xf numFmtId="44" fontId="7" fillId="0" borderId="25" xfId="0" applyNumberFormat="1" applyFont="1" applyBorder="1"/>
    <xf numFmtId="43" fontId="12" fillId="0" borderId="19" xfId="2" applyFont="1" applyBorder="1"/>
    <xf numFmtId="44" fontId="6" fillId="0" borderId="26" xfId="1" applyFont="1" applyBorder="1"/>
    <xf numFmtId="43" fontId="6" fillId="0" borderId="19" xfId="2" applyFont="1" applyBorder="1"/>
    <xf numFmtId="0" fontId="7" fillId="0" borderId="29" xfId="0" applyFont="1" applyBorder="1"/>
    <xf numFmtId="0" fontId="6" fillId="0" borderId="29" xfId="0" applyFont="1" applyBorder="1"/>
    <xf numFmtId="0" fontId="6" fillId="0" borderId="22" xfId="0" applyFont="1" applyBorder="1"/>
    <xf numFmtId="0" fontId="6" fillId="0" borderId="28" xfId="0" applyFont="1" applyBorder="1"/>
    <xf numFmtId="44" fontId="6" fillId="0" borderId="28" xfId="1" applyFont="1" applyBorder="1"/>
    <xf numFmtId="0" fontId="6" fillId="0" borderId="24" xfId="0" applyFont="1" applyBorder="1"/>
    <xf numFmtId="0" fontId="6" fillId="0" borderId="18" xfId="0" applyFont="1" applyBorder="1"/>
    <xf numFmtId="44" fontId="6" fillId="0" borderId="18" xfId="1" applyFont="1" applyBorder="1"/>
    <xf numFmtId="0" fontId="13" fillId="0" borderId="19" xfId="0" applyFont="1" applyBorder="1"/>
    <xf numFmtId="0" fontId="14" fillId="0" borderId="19" xfId="0" applyFont="1" applyBorder="1"/>
    <xf numFmtId="0" fontId="15" fillId="0" borderId="19" xfId="0" applyFont="1" applyBorder="1"/>
    <xf numFmtId="0" fontId="16" fillId="0" borderId="20" xfId="0" applyFont="1" applyBorder="1"/>
    <xf numFmtId="0" fontId="17" fillId="0" borderId="19" xfId="0" applyFont="1" applyBorder="1"/>
    <xf numFmtId="9" fontId="7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43" fontId="12" fillId="0" borderId="19" xfId="2" applyFont="1" applyBorder="1" applyAlignment="1">
      <alignment horizontal="center"/>
    </xf>
    <xf numFmtId="43" fontId="12" fillId="0" borderId="20" xfId="2" applyFont="1" applyBorder="1" applyAlignment="1">
      <alignment horizontal="center"/>
    </xf>
    <xf numFmtId="43" fontId="12" fillId="0" borderId="2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12</xdr:row>
      <xdr:rowOff>76200</xdr:rowOff>
    </xdr:from>
    <xdr:to>
      <xdr:col>5</xdr:col>
      <xdr:colOff>95250</xdr:colOff>
      <xdr:row>19</xdr:row>
      <xdr:rowOff>142875</xdr:rowOff>
    </xdr:to>
    <xdr:cxnSp macro="">
      <xdr:nvCxnSpPr>
        <xdr:cNvPr id="3" name="Conector de Seta Reta 2"/>
        <xdr:cNvCxnSpPr/>
      </xdr:nvCxnSpPr>
      <xdr:spPr>
        <a:xfrm>
          <a:off x="3228975" y="2295525"/>
          <a:ext cx="1628775" cy="14763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15</xdr:row>
      <xdr:rowOff>28575</xdr:rowOff>
    </xdr:from>
    <xdr:to>
      <xdr:col>5</xdr:col>
      <xdr:colOff>247650</xdr:colOff>
      <xdr:row>20</xdr:row>
      <xdr:rowOff>95250</xdr:rowOff>
    </xdr:to>
    <xdr:cxnSp macro="">
      <xdr:nvCxnSpPr>
        <xdr:cNvPr id="4" name="Conector de Seta Reta 3"/>
        <xdr:cNvCxnSpPr/>
      </xdr:nvCxnSpPr>
      <xdr:spPr>
        <a:xfrm>
          <a:off x="3219450" y="2847975"/>
          <a:ext cx="1790700" cy="1076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28</xdr:row>
      <xdr:rowOff>104775</xdr:rowOff>
    </xdr:from>
    <xdr:to>
      <xdr:col>6</xdr:col>
      <xdr:colOff>352425</xdr:colOff>
      <xdr:row>36</xdr:row>
      <xdr:rowOff>0</xdr:rowOff>
    </xdr:to>
    <xdr:cxnSp macro="">
      <xdr:nvCxnSpPr>
        <xdr:cNvPr id="7" name="Conector de Seta Reta 6"/>
        <xdr:cNvCxnSpPr/>
      </xdr:nvCxnSpPr>
      <xdr:spPr>
        <a:xfrm flipH="1">
          <a:off x="4667250" y="5543550"/>
          <a:ext cx="1257300" cy="15049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8</xdr:row>
      <xdr:rowOff>80597</xdr:rowOff>
    </xdr:from>
    <xdr:to>
      <xdr:col>3</xdr:col>
      <xdr:colOff>344366</xdr:colOff>
      <xdr:row>16</xdr:row>
      <xdr:rowOff>87923</xdr:rowOff>
    </xdr:to>
    <xdr:cxnSp macro="">
      <xdr:nvCxnSpPr>
        <xdr:cNvPr id="3" name="Conector de Seta Reta 2"/>
        <xdr:cNvCxnSpPr/>
      </xdr:nvCxnSpPr>
      <xdr:spPr>
        <a:xfrm flipV="1">
          <a:off x="1560635" y="1465385"/>
          <a:ext cx="1040423" cy="158994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989135</xdr:colOff>
      <xdr:row>22</xdr:row>
      <xdr:rowOff>124558</xdr:rowOff>
    </xdr:from>
    <xdr:to>
      <xdr:col>4</xdr:col>
      <xdr:colOff>432288</xdr:colOff>
      <xdr:row>29</xdr:row>
      <xdr:rowOff>197826</xdr:rowOff>
    </xdr:to>
    <xdr:cxnSp macro="">
      <xdr:nvCxnSpPr>
        <xdr:cNvPr id="5" name="Conector de Seta Reta 4"/>
        <xdr:cNvCxnSpPr/>
      </xdr:nvCxnSpPr>
      <xdr:spPr>
        <a:xfrm flipH="1">
          <a:off x="2710962" y="4293577"/>
          <a:ext cx="1758461" cy="14727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1069731</xdr:colOff>
      <xdr:row>26</xdr:row>
      <xdr:rowOff>108439</xdr:rowOff>
    </xdr:from>
    <xdr:to>
      <xdr:col>5</xdr:col>
      <xdr:colOff>320920</xdr:colOff>
      <xdr:row>31</xdr:row>
      <xdr:rowOff>117231</xdr:rowOff>
    </xdr:to>
    <xdr:cxnSp macro="">
      <xdr:nvCxnSpPr>
        <xdr:cNvPr id="6" name="Conector de Seta Reta 5"/>
        <xdr:cNvCxnSpPr/>
      </xdr:nvCxnSpPr>
      <xdr:spPr>
        <a:xfrm flipH="1">
          <a:off x="2791558" y="5083420"/>
          <a:ext cx="2680189" cy="9979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1106365</xdr:colOff>
      <xdr:row>26</xdr:row>
      <xdr:rowOff>172916</xdr:rowOff>
    </xdr:from>
    <xdr:to>
      <xdr:col>8</xdr:col>
      <xdr:colOff>444013</xdr:colOff>
      <xdr:row>32</xdr:row>
      <xdr:rowOff>95250</xdr:rowOff>
    </xdr:to>
    <xdr:cxnSp macro="">
      <xdr:nvCxnSpPr>
        <xdr:cNvPr id="8" name="Conector de Seta Reta 7"/>
        <xdr:cNvCxnSpPr/>
      </xdr:nvCxnSpPr>
      <xdr:spPr>
        <a:xfrm flipH="1">
          <a:off x="2828192" y="5147897"/>
          <a:ext cx="5001359" cy="110929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18</xdr:row>
      <xdr:rowOff>104775</xdr:rowOff>
    </xdr:from>
    <xdr:to>
      <xdr:col>10</xdr:col>
      <xdr:colOff>161925</xdr:colOff>
      <xdr:row>18</xdr:row>
      <xdr:rowOff>104777</xdr:rowOff>
    </xdr:to>
    <xdr:cxnSp macro="">
      <xdr:nvCxnSpPr>
        <xdr:cNvPr id="6" name="Conector de seta reta 5"/>
        <xdr:cNvCxnSpPr/>
      </xdr:nvCxnSpPr>
      <xdr:spPr>
        <a:xfrm flipV="1">
          <a:off x="6753225" y="3505200"/>
          <a:ext cx="933450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1028700</xdr:colOff>
      <xdr:row>19</xdr:row>
      <xdr:rowOff>19050</xdr:rowOff>
    </xdr:from>
    <xdr:to>
      <xdr:col>11</xdr:col>
      <xdr:colOff>85725</xdr:colOff>
      <xdr:row>20</xdr:row>
      <xdr:rowOff>133350</xdr:rowOff>
    </xdr:to>
    <xdr:cxnSp macro="">
      <xdr:nvCxnSpPr>
        <xdr:cNvPr id="16" name="Conector de seta reta 15"/>
        <xdr:cNvCxnSpPr/>
      </xdr:nvCxnSpPr>
      <xdr:spPr>
        <a:xfrm flipV="1">
          <a:off x="7467600" y="3619500"/>
          <a:ext cx="752475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17</xdr:row>
      <xdr:rowOff>19050</xdr:rowOff>
    </xdr:from>
    <xdr:to>
      <xdr:col>6</xdr:col>
      <xdr:colOff>85725</xdr:colOff>
      <xdr:row>21</xdr:row>
      <xdr:rowOff>114300</xdr:rowOff>
    </xdr:to>
    <xdr:cxnSp macro="">
      <xdr:nvCxnSpPr>
        <xdr:cNvPr id="3" name="Conector de Seta Reta 2"/>
        <xdr:cNvCxnSpPr/>
      </xdr:nvCxnSpPr>
      <xdr:spPr>
        <a:xfrm>
          <a:off x="581025" y="3219450"/>
          <a:ext cx="3781425" cy="895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Aulas%202016/1&#176;%20Semestre/Contabilidade%20Empresarial/2&#186;%20Bimestre/Aula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zação"/>
      <sheetName val="BP"/>
      <sheetName val="DMPL"/>
    </sheetNames>
    <sheetDataSet>
      <sheetData sheetId="0">
        <row r="2">
          <cell r="G2">
            <v>270</v>
          </cell>
          <cell r="J2">
            <v>200</v>
          </cell>
          <cell r="K2">
            <v>200</v>
          </cell>
        </row>
        <row r="3">
          <cell r="G3">
            <v>26.6</v>
          </cell>
        </row>
      </sheetData>
      <sheetData sheetId="1">
        <row r="4">
          <cell r="B4">
            <v>2400</v>
          </cell>
        </row>
        <row r="6">
          <cell r="B6">
            <v>1200</v>
          </cell>
        </row>
        <row r="7">
          <cell r="B7">
            <v>500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defaultRowHeight="15.75" x14ac:dyDescent="0.25"/>
  <cols>
    <col min="1" max="16384" width="9.140625" style="1"/>
  </cols>
  <sheetData>
    <row r="1" spans="1:15" x14ac:dyDescent="0.25">
      <c r="A1" s="2" t="s">
        <v>414</v>
      </c>
    </row>
    <row r="2" spans="1:15" x14ac:dyDescent="0.25">
      <c r="A2" s="4" t="s">
        <v>0</v>
      </c>
      <c r="B2" s="3"/>
    </row>
    <row r="3" spans="1:15" x14ac:dyDescent="0.25">
      <c r="A3" s="5" t="s">
        <v>1</v>
      </c>
      <c r="B3" s="5"/>
      <c r="C3" s="5"/>
      <c r="D3" s="5"/>
      <c r="E3" s="5"/>
    </row>
    <row r="5" spans="1:15" x14ac:dyDescent="0.25">
      <c r="A5" s="4" t="s">
        <v>2</v>
      </c>
      <c r="B5" s="3"/>
    </row>
    <row r="6" spans="1:15" x14ac:dyDescent="0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8" spans="1:15" x14ac:dyDescent="0.25">
      <c r="A8" s="4" t="s">
        <v>4</v>
      </c>
      <c r="B8" s="3"/>
    </row>
    <row r="9" spans="1:15" x14ac:dyDescent="0.25">
      <c r="A9" s="2" t="s">
        <v>5</v>
      </c>
      <c r="B9" s="2"/>
      <c r="C9" s="2"/>
      <c r="D9" s="2"/>
      <c r="E9" s="2"/>
      <c r="F9" s="2"/>
      <c r="G9" s="2"/>
      <c r="H9" s="2"/>
      <c r="I9" s="2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7" workbookViewId="0">
      <selection activeCell="D34" sqref="D34"/>
    </sheetView>
  </sheetViews>
  <sheetFormatPr defaultRowHeight="15.75" x14ac:dyDescent="0.25"/>
  <cols>
    <col min="1" max="1" width="38.85546875" style="46" bestFit="1" customWidth="1"/>
    <col min="2" max="2" width="16.28515625" style="46" bestFit="1" customWidth="1"/>
    <col min="3" max="3" width="15" style="46" bestFit="1" customWidth="1"/>
    <col min="4" max="4" width="12.140625" style="46" bestFit="1" customWidth="1"/>
    <col min="5" max="5" width="14.7109375" style="46" bestFit="1" customWidth="1"/>
    <col min="6" max="8" width="14" style="46" bestFit="1" customWidth="1"/>
    <col min="9" max="16384" width="9.140625" style="46"/>
  </cols>
  <sheetData>
    <row r="1" spans="1:11" x14ac:dyDescent="0.25">
      <c r="A1" s="202" t="s">
        <v>187</v>
      </c>
      <c r="B1" s="202"/>
      <c r="C1" s="202"/>
      <c r="D1" s="202"/>
      <c r="E1" s="202"/>
      <c r="F1" s="202"/>
      <c r="G1" s="202"/>
      <c r="H1" s="202"/>
    </row>
    <row r="2" spans="1:11" x14ac:dyDescent="0.25">
      <c r="A2" s="212" t="s">
        <v>188</v>
      </c>
      <c r="B2" s="118" t="s">
        <v>189</v>
      </c>
      <c r="C2" s="118" t="s">
        <v>190</v>
      </c>
      <c r="D2" s="118" t="s">
        <v>191</v>
      </c>
      <c r="E2" s="118" t="s">
        <v>192</v>
      </c>
      <c r="F2" s="118" t="s">
        <v>193</v>
      </c>
      <c r="G2" s="118" t="s">
        <v>194</v>
      </c>
      <c r="H2" s="118" t="s">
        <v>195</v>
      </c>
    </row>
    <row r="3" spans="1:11" x14ac:dyDescent="0.25">
      <c r="A3" s="213"/>
      <c r="B3" s="119" t="s">
        <v>196</v>
      </c>
      <c r="C3" s="119" t="s">
        <v>189</v>
      </c>
      <c r="D3" s="119" t="s">
        <v>197</v>
      </c>
      <c r="E3" s="119" t="s">
        <v>198</v>
      </c>
      <c r="F3" s="119" t="s">
        <v>199</v>
      </c>
      <c r="G3" s="119" t="s">
        <v>200</v>
      </c>
      <c r="H3" s="119" t="s">
        <v>201</v>
      </c>
    </row>
    <row r="4" spans="1:11" x14ac:dyDescent="0.25">
      <c r="A4" s="113" t="s">
        <v>202</v>
      </c>
      <c r="B4" s="120">
        <f>'Atv08 razonetes'!C3</f>
        <v>1800</v>
      </c>
      <c r="C4" s="120">
        <v>0</v>
      </c>
      <c r="D4" s="120">
        <f>'Atv08 razonetes'!G3+'Atv08 razonetes'!K3</f>
        <v>470</v>
      </c>
      <c r="E4" s="120">
        <v>0</v>
      </c>
      <c r="F4" s="120">
        <v>0</v>
      </c>
      <c r="G4" s="120">
        <v>0</v>
      </c>
      <c r="H4" s="120">
        <f>SUM(B4:G4)</f>
        <v>2270</v>
      </c>
    </row>
    <row r="5" spans="1:11" x14ac:dyDescent="0.25">
      <c r="A5" s="113" t="s">
        <v>203</v>
      </c>
      <c r="B5" s="120"/>
      <c r="C5" s="120"/>
      <c r="D5" s="120"/>
      <c r="E5" s="120"/>
      <c r="F5" s="120"/>
      <c r="G5" s="120"/>
      <c r="H5" s="120"/>
    </row>
    <row r="6" spans="1:11" x14ac:dyDescent="0.25">
      <c r="A6" s="108" t="s">
        <v>204</v>
      </c>
      <c r="B6" s="120"/>
      <c r="C6" s="120"/>
      <c r="D6" s="120"/>
      <c r="E6" s="120"/>
      <c r="F6" s="120">
        <f>'Atv08 razonetes'!O3</f>
        <v>192.5</v>
      </c>
      <c r="H6" s="120">
        <f>F6</f>
        <v>192.5</v>
      </c>
    </row>
    <row r="7" spans="1:11" x14ac:dyDescent="0.25">
      <c r="A7" s="113" t="s">
        <v>205</v>
      </c>
      <c r="B7" s="120">
        <f>SUM(B4:B6)</f>
        <v>1800</v>
      </c>
      <c r="C7" s="120">
        <f>SUM(C4:C6)</f>
        <v>0</v>
      </c>
      <c r="D7" s="120">
        <f t="shared" ref="D7:H7" si="0">SUM(D4:D6)</f>
        <v>470</v>
      </c>
      <c r="E7" s="120">
        <f t="shared" si="0"/>
        <v>0</v>
      </c>
      <c r="F7" s="120">
        <f>SUM(F4:F6)</f>
        <v>192.5</v>
      </c>
      <c r="G7" s="120">
        <f t="shared" si="0"/>
        <v>0</v>
      </c>
      <c r="H7" s="120">
        <f t="shared" si="0"/>
        <v>2462.5</v>
      </c>
    </row>
    <row r="8" spans="1:11" x14ac:dyDescent="0.25">
      <c r="A8" s="108" t="s">
        <v>167</v>
      </c>
      <c r="B8" s="120">
        <f>'Atv08 razonetes'!C4</f>
        <v>2400</v>
      </c>
      <c r="C8" s="120">
        <f>'Atv08 razonetes'!K10</f>
        <v>1200</v>
      </c>
      <c r="D8" s="120"/>
      <c r="E8" s="120"/>
      <c r="F8" s="120"/>
      <c r="G8" s="120"/>
      <c r="H8" s="120">
        <f>SUM(B8:G8)</f>
        <v>3600</v>
      </c>
    </row>
    <row r="9" spans="1:11" x14ac:dyDescent="0.25">
      <c r="A9" s="108" t="s">
        <v>206</v>
      </c>
      <c r="B9" s="120">
        <f>'Atv08 razonetes'!N10*-1</f>
        <v>-500</v>
      </c>
      <c r="C9" s="120"/>
      <c r="D9" s="120"/>
      <c r="E9" s="120"/>
      <c r="F9" s="120"/>
      <c r="G9" s="120"/>
      <c r="H9" s="120">
        <f>SUM(B9:G9)</f>
        <v>-500</v>
      </c>
    </row>
    <row r="10" spans="1:11" x14ac:dyDescent="0.25">
      <c r="A10" s="46" t="s">
        <v>155</v>
      </c>
      <c r="B10" s="120">
        <f>'Atv08 razonetes'!B22*-1</f>
        <v>-400</v>
      </c>
      <c r="D10" s="120"/>
      <c r="E10" s="120"/>
      <c r="F10" s="120"/>
      <c r="G10" s="120"/>
      <c r="H10" s="120">
        <f>SUM(B10:G10)</f>
        <v>-400</v>
      </c>
    </row>
    <row r="11" spans="1:11" x14ac:dyDescent="0.25">
      <c r="A11" s="108" t="s">
        <v>207</v>
      </c>
      <c r="B11" s="120"/>
      <c r="C11" s="120"/>
      <c r="D11" s="120"/>
      <c r="E11" s="120"/>
      <c r="F11" s="120">
        <f>'Atv08 razonetes'!G22*-1</f>
        <v>-600</v>
      </c>
      <c r="G11" s="120"/>
      <c r="H11" s="120">
        <f>F11</f>
        <v>-600</v>
      </c>
    </row>
    <row r="12" spans="1:11" x14ac:dyDescent="0.25">
      <c r="A12" s="108" t="s">
        <v>163</v>
      </c>
      <c r="B12" s="120"/>
      <c r="C12" s="120"/>
      <c r="D12" s="120"/>
      <c r="E12" s="120">
        <f>'Atv08 razonetes'!K22</f>
        <v>297.89999999999998</v>
      </c>
      <c r="F12" s="120">
        <f>'Atv08 razonetes'!K22*-1</f>
        <v>-297.89999999999998</v>
      </c>
      <c r="G12" s="120"/>
      <c r="H12" s="120">
        <f>SUM(E12:G12)</f>
        <v>0</v>
      </c>
      <c r="I12" s="7"/>
      <c r="J12" s="7"/>
      <c r="K12" s="7"/>
    </row>
    <row r="13" spans="1:11" x14ac:dyDescent="0.25">
      <c r="A13" s="113" t="s">
        <v>208</v>
      </c>
      <c r="B13" s="120"/>
      <c r="C13" s="120"/>
      <c r="D13" s="120"/>
      <c r="E13" s="120"/>
      <c r="F13" s="120"/>
      <c r="G13" s="120"/>
      <c r="H13" s="120"/>
    </row>
    <row r="14" spans="1:11" x14ac:dyDescent="0.25">
      <c r="A14" s="108" t="s">
        <v>209</v>
      </c>
      <c r="B14" s="120"/>
      <c r="C14" s="120"/>
      <c r="D14" s="120"/>
      <c r="E14" s="120"/>
      <c r="F14" s="120">
        <f>'Atv08 razonetes'!O4</f>
        <v>532</v>
      </c>
      <c r="G14" s="120"/>
      <c r="H14" s="120">
        <f>F14</f>
        <v>532</v>
      </c>
    </row>
    <row r="15" spans="1:11" x14ac:dyDescent="0.25">
      <c r="A15" s="108" t="s">
        <v>210</v>
      </c>
      <c r="B15" s="120"/>
      <c r="C15" s="120"/>
      <c r="D15" s="120"/>
      <c r="E15" s="120"/>
      <c r="F15" s="120"/>
      <c r="G15" s="120">
        <f>B44+B46</f>
        <v>1100</v>
      </c>
      <c r="H15" s="120">
        <f>G15</f>
        <v>1100</v>
      </c>
    </row>
    <row r="16" spans="1:11" x14ac:dyDescent="0.25">
      <c r="A16" s="108" t="s">
        <v>211</v>
      </c>
      <c r="B16" s="120"/>
      <c r="C16" s="120"/>
      <c r="D16" s="120"/>
      <c r="E16" s="120"/>
      <c r="F16" s="120"/>
      <c r="G16" s="120">
        <f>B45</f>
        <v>-700</v>
      </c>
      <c r="H16" s="120">
        <f>G16</f>
        <v>-700</v>
      </c>
    </row>
    <row r="17" spans="1:8" x14ac:dyDescent="0.25">
      <c r="A17" s="113" t="s">
        <v>212</v>
      </c>
      <c r="B17" s="120"/>
      <c r="C17" s="120"/>
      <c r="D17" s="120"/>
      <c r="E17" s="120"/>
      <c r="F17" s="120"/>
      <c r="G17" s="120"/>
      <c r="H17" s="120"/>
    </row>
    <row r="18" spans="1:8" x14ac:dyDescent="0.25">
      <c r="A18" s="108" t="s">
        <v>213</v>
      </c>
      <c r="B18" s="120"/>
      <c r="C18" s="120"/>
      <c r="D18" s="120">
        <f>F38</f>
        <v>26.6</v>
      </c>
      <c r="E18" s="120"/>
      <c r="F18" s="120">
        <f>D18*-1</f>
        <v>-26.6</v>
      </c>
      <c r="G18" s="120"/>
      <c r="H18" s="120">
        <f>SUM(D18:G18)</f>
        <v>0</v>
      </c>
    </row>
    <row r="19" spans="1:8" x14ac:dyDescent="0.25">
      <c r="A19" s="108" t="s">
        <v>214</v>
      </c>
      <c r="B19" s="120"/>
      <c r="C19" s="120"/>
      <c r="D19" s="120">
        <f>C37</f>
        <v>-200</v>
      </c>
      <c r="E19" s="120"/>
      <c r="F19" s="120">
        <f>C36</f>
        <v>200</v>
      </c>
      <c r="G19" s="120"/>
      <c r="H19" s="120">
        <f>SUM(D19:G19)</f>
        <v>0</v>
      </c>
    </row>
    <row r="20" spans="1:8" x14ac:dyDescent="0.25">
      <c r="A20" s="113" t="s">
        <v>215</v>
      </c>
      <c r="B20" s="120">
        <f>SUM(B7:B19)</f>
        <v>3300</v>
      </c>
      <c r="C20" s="120">
        <f t="shared" ref="C20:H20" si="1">SUM(C7:C19)</f>
        <v>1200</v>
      </c>
      <c r="D20" s="120">
        <f t="shared" si="1"/>
        <v>296.60000000000002</v>
      </c>
      <c r="E20" s="120">
        <f t="shared" si="1"/>
        <v>297.89999999999998</v>
      </c>
      <c r="F20" s="120">
        <f t="shared" si="1"/>
        <v>0</v>
      </c>
      <c r="G20" s="120">
        <f t="shared" si="1"/>
        <v>400</v>
      </c>
      <c r="H20" s="120">
        <f t="shared" si="1"/>
        <v>5494.5</v>
      </c>
    </row>
    <row r="21" spans="1:8" x14ac:dyDescent="0.25">
      <c r="A21" s="121"/>
      <c r="B21" s="122"/>
      <c r="C21" s="122"/>
      <c r="D21" s="122"/>
      <c r="E21" s="122"/>
      <c r="F21" s="122"/>
      <c r="G21" s="122"/>
      <c r="H21" s="122"/>
    </row>
    <row r="22" spans="1:8" x14ac:dyDescent="0.25">
      <c r="A22" s="205" t="s">
        <v>216</v>
      </c>
      <c r="B22" s="205"/>
      <c r="C22" s="205"/>
      <c r="D22" s="205"/>
      <c r="E22" s="205"/>
      <c r="G22" s="122"/>
      <c r="H22" s="122"/>
    </row>
    <row r="23" spans="1:8" x14ac:dyDescent="0.25">
      <c r="A23" s="206" t="s">
        <v>188</v>
      </c>
      <c r="B23" s="118" t="s">
        <v>217</v>
      </c>
      <c r="C23" s="118" t="s">
        <v>218</v>
      </c>
      <c r="D23" s="86" t="s">
        <v>219</v>
      </c>
      <c r="E23" s="118" t="s">
        <v>220</v>
      </c>
      <c r="F23" s="214" t="s">
        <v>221</v>
      </c>
      <c r="G23" s="122"/>
      <c r="H23" s="122"/>
    </row>
    <row r="24" spans="1:8" x14ac:dyDescent="0.25">
      <c r="A24" s="212"/>
      <c r="B24" s="123" t="s">
        <v>222</v>
      </c>
      <c r="C24" s="123" t="s">
        <v>222</v>
      </c>
      <c r="D24" s="124" t="s">
        <v>223</v>
      </c>
      <c r="E24" s="123" t="s">
        <v>224</v>
      </c>
      <c r="F24" s="215"/>
      <c r="G24" s="122"/>
      <c r="H24" s="122"/>
    </row>
    <row r="25" spans="1:8" x14ac:dyDescent="0.25">
      <c r="A25" s="125"/>
      <c r="B25" s="119" t="s">
        <v>225</v>
      </c>
      <c r="C25" s="119" t="s">
        <v>225</v>
      </c>
      <c r="D25" s="124"/>
      <c r="E25" s="119" t="s">
        <v>226</v>
      </c>
      <c r="F25" s="216"/>
      <c r="G25" s="122"/>
      <c r="H25" s="122"/>
    </row>
    <row r="26" spans="1:8" x14ac:dyDescent="0.25">
      <c r="A26" s="113" t="s">
        <v>202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2"/>
      <c r="H26" s="122"/>
    </row>
    <row r="27" spans="1:8" x14ac:dyDescent="0.25">
      <c r="A27" s="108" t="s">
        <v>227</v>
      </c>
      <c r="B27" s="120">
        <f>'Atv08 razonetes'!K10</f>
        <v>1200</v>
      </c>
      <c r="C27" s="126"/>
      <c r="D27" s="127"/>
      <c r="E27" s="126"/>
      <c r="F27" s="126">
        <f>SUM(B27:E27)</f>
        <v>1200</v>
      </c>
      <c r="G27" s="122"/>
      <c r="H27" s="122"/>
    </row>
    <row r="28" spans="1:8" x14ac:dyDescent="0.25">
      <c r="A28" s="108" t="s">
        <v>228</v>
      </c>
      <c r="B28" s="120"/>
      <c r="C28" s="128">
        <f>'Atv08 razonetes'!N10*-1</f>
        <v>-500</v>
      </c>
      <c r="D28" s="129"/>
      <c r="E28" s="126"/>
      <c r="F28" s="126">
        <f>SUM(B28:E28)</f>
        <v>-500</v>
      </c>
      <c r="G28" s="122"/>
      <c r="H28" s="122"/>
    </row>
    <row r="29" spans="1:8" x14ac:dyDescent="0.25">
      <c r="A29" s="108" t="s">
        <v>180</v>
      </c>
      <c r="B29" s="120"/>
      <c r="C29" s="128"/>
      <c r="D29" s="128">
        <f>'Atv08 razonetes'!B22*-1</f>
        <v>-400</v>
      </c>
      <c r="E29" s="126"/>
      <c r="F29" s="126">
        <f>SUM(B29:E29)</f>
        <v>-400</v>
      </c>
      <c r="G29" s="122"/>
      <c r="H29" s="122"/>
    </row>
    <row r="30" spans="1:8" x14ac:dyDescent="0.25">
      <c r="A30" s="108" t="s">
        <v>229</v>
      </c>
      <c r="B30" s="120"/>
      <c r="C30" s="129"/>
      <c r="D30" s="128"/>
      <c r="E30" s="126">
        <f>'Atv08 razonetes'!K22</f>
        <v>297.89999999999998</v>
      </c>
      <c r="F30" s="126">
        <f>SUM(C30:E30)</f>
        <v>297.89999999999998</v>
      </c>
      <c r="G30" s="122"/>
      <c r="H30" s="122"/>
    </row>
    <row r="31" spans="1:8" x14ac:dyDescent="0.25">
      <c r="A31" s="113" t="s">
        <v>230</v>
      </c>
      <c r="B31" s="120">
        <f>SUM(B26:B30)</f>
        <v>1200</v>
      </c>
      <c r="C31" s="120">
        <f>SUM(C26:C30)</f>
        <v>-500</v>
      </c>
      <c r="D31" s="120">
        <f>SUM(D26:D30)</f>
        <v>-400</v>
      </c>
      <c r="E31" s="126">
        <f>SUM(E26:E30)</f>
        <v>297.89999999999998</v>
      </c>
      <c r="F31" s="126">
        <f>SUM(F27:F30)</f>
        <v>597.9</v>
      </c>
      <c r="G31" s="122"/>
      <c r="H31" s="122"/>
    </row>
    <row r="32" spans="1:8" x14ac:dyDescent="0.25">
      <c r="F32" s="122"/>
      <c r="G32" s="122"/>
      <c r="H32" s="122"/>
    </row>
    <row r="33" spans="1:6" x14ac:dyDescent="0.25">
      <c r="A33" s="202" t="s">
        <v>231</v>
      </c>
      <c r="B33" s="202"/>
      <c r="C33" s="202"/>
      <c r="D33" s="202"/>
      <c r="E33" s="202"/>
      <c r="F33" s="202"/>
    </row>
    <row r="34" spans="1:6" x14ac:dyDescent="0.25">
      <c r="A34" s="206" t="s">
        <v>188</v>
      </c>
      <c r="B34" s="214" t="s">
        <v>232</v>
      </c>
      <c r="C34" s="214" t="s">
        <v>233</v>
      </c>
      <c r="D34" s="118" t="s">
        <v>234</v>
      </c>
      <c r="E34" s="214" t="s">
        <v>235</v>
      </c>
      <c r="F34" s="214" t="s">
        <v>221</v>
      </c>
    </row>
    <row r="35" spans="1:6" x14ac:dyDescent="0.25">
      <c r="A35" s="206"/>
      <c r="B35" s="216"/>
      <c r="C35" s="216"/>
      <c r="D35" s="119" t="s">
        <v>236</v>
      </c>
      <c r="E35" s="216"/>
      <c r="F35" s="216"/>
    </row>
    <row r="36" spans="1:6" x14ac:dyDescent="0.25">
      <c r="A36" s="113" t="s">
        <v>202</v>
      </c>
      <c r="B36" s="120">
        <f>[1]Contabilização!G2</f>
        <v>270</v>
      </c>
      <c r="C36" s="120">
        <f>[1]Contabilização!K2</f>
        <v>200</v>
      </c>
      <c r="D36" s="120"/>
      <c r="E36" s="120"/>
      <c r="F36" s="120">
        <f>SUM(B36:E36)</f>
        <v>470</v>
      </c>
    </row>
    <row r="37" spans="1:6" x14ac:dyDescent="0.25">
      <c r="A37" s="108" t="s">
        <v>237</v>
      </c>
      <c r="B37" s="120"/>
      <c r="C37" s="120">
        <f>[1]Contabilização!J2*-1</f>
        <v>-200</v>
      </c>
      <c r="D37" s="120"/>
      <c r="E37" s="120"/>
      <c r="F37" s="120">
        <f>SUM(B37:E37)</f>
        <v>-200</v>
      </c>
    </row>
    <row r="38" spans="1:6" x14ac:dyDescent="0.25">
      <c r="A38" s="108" t="s">
        <v>238</v>
      </c>
      <c r="B38" s="120">
        <f>[1]Contabilização!G3</f>
        <v>26.6</v>
      </c>
      <c r="C38" s="120"/>
      <c r="D38" s="120"/>
      <c r="E38" s="120"/>
      <c r="F38" s="120">
        <f>SUM(B38:E38)</f>
        <v>26.6</v>
      </c>
    </row>
    <row r="39" spans="1:6" x14ac:dyDescent="0.25">
      <c r="A39" s="113" t="s">
        <v>230</v>
      </c>
      <c r="B39" s="128">
        <f>SUM(B36:B38)</f>
        <v>296.60000000000002</v>
      </c>
      <c r="C39" s="128">
        <f>SUM(C36:C38)</f>
        <v>0</v>
      </c>
      <c r="D39" s="128"/>
      <c r="E39" s="128"/>
      <c r="F39" s="128">
        <f>SUM(F36:F38)</f>
        <v>296.60000000000002</v>
      </c>
    </row>
    <row r="40" spans="1:6" x14ac:dyDescent="0.25">
      <c r="C40" s="60"/>
    </row>
    <row r="41" spans="1:6" x14ac:dyDescent="0.25">
      <c r="A41" s="202" t="s">
        <v>239</v>
      </c>
      <c r="B41" s="202"/>
      <c r="C41" s="202"/>
      <c r="D41" s="202"/>
      <c r="E41" s="202"/>
    </row>
    <row r="42" spans="1:6" x14ac:dyDescent="0.25">
      <c r="A42" s="130" t="s">
        <v>188</v>
      </c>
      <c r="B42" s="131" t="s">
        <v>240</v>
      </c>
      <c r="C42" s="132"/>
      <c r="D42" s="129"/>
      <c r="E42" s="129"/>
    </row>
    <row r="43" spans="1:6" x14ac:dyDescent="0.25">
      <c r="A43" s="113" t="s">
        <v>202</v>
      </c>
      <c r="B43" s="120">
        <v>0</v>
      </c>
      <c r="C43" s="133"/>
      <c r="D43" s="133"/>
      <c r="E43" s="133"/>
    </row>
    <row r="44" spans="1:6" x14ac:dyDescent="0.25">
      <c r="A44" s="108" t="s">
        <v>241</v>
      </c>
      <c r="B44" s="133">
        <f>'Atv08 razonetes'!F17</f>
        <v>1000</v>
      </c>
      <c r="C44" s="129"/>
      <c r="D44" s="129"/>
      <c r="E44" s="129"/>
    </row>
    <row r="45" spans="1:6" x14ac:dyDescent="0.25">
      <c r="A45" s="108" t="s">
        <v>242</v>
      </c>
      <c r="B45" s="133">
        <f>'Atv08 razonetes'!J16*-1</f>
        <v>-700</v>
      </c>
      <c r="C45" s="129"/>
      <c r="D45" s="129"/>
      <c r="E45" s="129"/>
    </row>
    <row r="46" spans="1:6" x14ac:dyDescent="0.25">
      <c r="A46" s="108" t="s">
        <v>241</v>
      </c>
      <c r="B46" s="133">
        <f>'Atv08 razonetes'!F18</f>
        <v>100</v>
      </c>
      <c r="C46" s="129"/>
      <c r="D46" s="129"/>
      <c r="E46" s="129"/>
    </row>
    <row r="47" spans="1:6" x14ac:dyDescent="0.25">
      <c r="A47" s="113" t="s">
        <v>230</v>
      </c>
      <c r="B47" s="128">
        <f>SUM(B43:B46)</f>
        <v>400</v>
      </c>
      <c r="C47" s="129"/>
      <c r="D47" s="129"/>
      <c r="E47" s="129"/>
    </row>
  </sheetData>
  <mergeCells count="12">
    <mergeCell ref="A41:E41"/>
    <mergeCell ref="A1:H1"/>
    <mergeCell ref="A2:A3"/>
    <mergeCell ref="A22:E22"/>
    <mergeCell ref="A23:A24"/>
    <mergeCell ref="F23:F25"/>
    <mergeCell ref="A33:F33"/>
    <mergeCell ref="A34:A35"/>
    <mergeCell ref="B34:B35"/>
    <mergeCell ref="C34:C35"/>
    <mergeCell ref="E34:E35"/>
    <mergeCell ref="F34:F35"/>
  </mergeCells>
  <pageMargins left="0.511811024" right="0.511811024" top="0.78740157499999996" bottom="0.78740157499999996" header="0.31496062000000002" footer="0.31496062000000002"/>
  <ignoredErrors>
    <ignoredError sqref="D18:F19 D20:F20 H18:H20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workbookViewId="0">
      <selection activeCell="H6" sqref="H6"/>
    </sheetView>
  </sheetViews>
  <sheetFormatPr defaultRowHeight="15.75" x14ac:dyDescent="0.25"/>
  <cols>
    <col min="1" max="1" width="9.28515625" style="46" bestFit="1" customWidth="1"/>
    <col min="2" max="2" width="15.140625" style="46" bestFit="1" customWidth="1"/>
    <col min="3" max="3" width="21.140625" style="46" customWidth="1"/>
    <col min="4" max="4" width="18.85546875" style="46" customWidth="1"/>
    <col min="5" max="5" width="15.140625" style="46" bestFit="1" customWidth="1"/>
    <col min="6" max="6" width="16.28515625" style="46" bestFit="1" customWidth="1"/>
    <col min="7" max="10" width="9.140625" style="46"/>
    <col min="11" max="11" width="17.5703125" style="46" bestFit="1" customWidth="1"/>
    <col min="12" max="16384" width="9.140625" style="46"/>
  </cols>
  <sheetData>
    <row r="1" spans="1:11" x14ac:dyDescent="0.25">
      <c r="A1" s="50" t="s">
        <v>340</v>
      </c>
    </row>
    <row r="2" spans="1:11" ht="16.5" thickBot="1" x14ac:dyDescent="0.3">
      <c r="A2" s="217" t="s">
        <v>243</v>
      </c>
      <c r="B2" s="217"/>
      <c r="C2" s="217"/>
      <c r="D2" s="217"/>
      <c r="E2" s="217"/>
      <c r="F2" s="217"/>
    </row>
    <row r="3" spans="1:11" ht="16.5" thickBot="1" x14ac:dyDescent="0.3">
      <c r="A3" s="134" t="s">
        <v>46</v>
      </c>
      <c r="B3" s="135" t="s">
        <v>88</v>
      </c>
      <c r="C3" s="218" t="s">
        <v>89</v>
      </c>
      <c r="D3" s="219"/>
      <c r="E3" s="220"/>
      <c r="F3" s="136" t="s">
        <v>90</v>
      </c>
    </row>
    <row r="4" spans="1:11" ht="16.5" thickBot="1" x14ac:dyDescent="0.3">
      <c r="A4" s="137"/>
      <c r="B4" s="138" t="s">
        <v>92</v>
      </c>
      <c r="C4" s="138" t="s">
        <v>93</v>
      </c>
      <c r="D4" s="138" t="s">
        <v>94</v>
      </c>
      <c r="E4" s="138" t="s">
        <v>95</v>
      </c>
      <c r="F4" s="138" t="s">
        <v>96</v>
      </c>
      <c r="G4" s="139"/>
      <c r="H4" s="140" t="s">
        <v>244</v>
      </c>
      <c r="K4" s="59">
        <v>60000</v>
      </c>
    </row>
    <row r="5" spans="1:11" ht="16.5" thickBot="1" x14ac:dyDescent="0.3">
      <c r="A5" s="141">
        <v>1</v>
      </c>
      <c r="B5" s="142">
        <f>K4</f>
        <v>60000</v>
      </c>
      <c r="C5" s="142">
        <f>B5*0.02</f>
        <v>1200</v>
      </c>
      <c r="D5" s="143">
        <f>E5-C5</f>
        <v>9511.5487401121427</v>
      </c>
      <c r="E5" s="144">
        <f>$K$6</f>
        <v>10711.548740112143</v>
      </c>
      <c r="F5" s="142">
        <f>B5-D5</f>
        <v>50488.451259887857</v>
      </c>
      <c r="H5" s="46" t="s">
        <v>245</v>
      </c>
      <c r="K5" s="46">
        <f>(1-1.02^-6)/0.02</f>
        <v>5.6014308906904011</v>
      </c>
    </row>
    <row r="6" spans="1:11" ht="16.5" thickBot="1" x14ac:dyDescent="0.3">
      <c r="A6" s="141">
        <v>2</v>
      </c>
      <c r="B6" s="142">
        <f>F5</f>
        <v>50488.451259887857</v>
      </c>
      <c r="C6" s="142">
        <f t="shared" ref="C6:C10" si="0">B6*0.02</f>
        <v>1009.7690251977572</v>
      </c>
      <c r="D6" s="143">
        <f t="shared" ref="D6:D10" si="1">E6-C6</f>
        <v>9701.7797149143862</v>
      </c>
      <c r="E6" s="144">
        <f t="shared" ref="E6:E10" si="2">$K$6</f>
        <v>10711.548740112143</v>
      </c>
      <c r="F6" s="142">
        <f t="shared" ref="F6:F10" si="3">B6-D6</f>
        <v>40786.671544973469</v>
      </c>
      <c r="H6" s="46" t="s">
        <v>103</v>
      </c>
      <c r="K6" s="62">
        <f>K4/K5</f>
        <v>10711.548740112143</v>
      </c>
    </row>
    <row r="7" spans="1:11" ht="16.5" thickBot="1" x14ac:dyDescent="0.3">
      <c r="A7" s="141">
        <v>3</v>
      </c>
      <c r="B7" s="142">
        <f t="shared" ref="B7:B10" si="4">F6</f>
        <v>40786.671544973469</v>
      </c>
      <c r="C7" s="142">
        <f t="shared" si="0"/>
        <v>815.73343089946945</v>
      </c>
      <c r="D7" s="143">
        <f t="shared" si="1"/>
        <v>9895.815309212674</v>
      </c>
      <c r="E7" s="144">
        <f t="shared" si="2"/>
        <v>10711.548740112143</v>
      </c>
      <c r="F7" s="142">
        <f t="shared" si="3"/>
        <v>30890.856235760795</v>
      </c>
    </row>
    <row r="8" spans="1:11" ht="16.5" thickBot="1" x14ac:dyDescent="0.3">
      <c r="A8" s="141">
        <v>4</v>
      </c>
      <c r="B8" s="142">
        <f t="shared" si="4"/>
        <v>30890.856235760795</v>
      </c>
      <c r="C8" s="142">
        <f t="shared" si="0"/>
        <v>617.81712471521587</v>
      </c>
      <c r="D8" s="143">
        <f t="shared" si="1"/>
        <v>10093.731615396926</v>
      </c>
      <c r="E8" s="144">
        <f t="shared" si="2"/>
        <v>10711.548740112143</v>
      </c>
      <c r="F8" s="142">
        <f t="shared" si="3"/>
        <v>20797.124620363869</v>
      </c>
    </row>
    <row r="9" spans="1:11" ht="16.5" thickBot="1" x14ac:dyDescent="0.3">
      <c r="A9" s="141">
        <v>5</v>
      </c>
      <c r="B9" s="142">
        <f t="shared" si="4"/>
        <v>20797.124620363869</v>
      </c>
      <c r="C9" s="142">
        <f t="shared" si="0"/>
        <v>415.94249240727737</v>
      </c>
      <c r="D9" s="143">
        <f t="shared" si="1"/>
        <v>10295.606247704865</v>
      </c>
      <c r="E9" s="144">
        <f t="shared" si="2"/>
        <v>10711.548740112143</v>
      </c>
      <c r="F9" s="142">
        <f t="shared" si="3"/>
        <v>10501.518372659004</v>
      </c>
    </row>
    <row r="10" spans="1:11" ht="16.5" thickBot="1" x14ac:dyDescent="0.3">
      <c r="A10" s="141">
        <v>6</v>
      </c>
      <c r="B10" s="142">
        <f t="shared" si="4"/>
        <v>10501.518372659004</v>
      </c>
      <c r="C10" s="142">
        <f t="shared" si="0"/>
        <v>210.03036745318008</v>
      </c>
      <c r="D10" s="143">
        <f t="shared" si="1"/>
        <v>10501.518372658962</v>
      </c>
      <c r="E10" s="144">
        <f t="shared" si="2"/>
        <v>10711.548740112143</v>
      </c>
      <c r="F10" s="142">
        <f t="shared" si="3"/>
        <v>4.1836756281554699E-11</v>
      </c>
    </row>
    <row r="11" spans="1:11" ht="16.5" thickBot="1" x14ac:dyDescent="0.3">
      <c r="A11" s="145" t="s">
        <v>117</v>
      </c>
      <c r="B11" s="146"/>
      <c r="C11" s="147">
        <f>SUM(C5:C10)</f>
        <v>4269.2924406728998</v>
      </c>
      <c r="D11" s="148">
        <f>SUM(D5:D10)</f>
        <v>59999.999999999956</v>
      </c>
      <c r="E11" s="149">
        <f>SUM(E5:E10)</f>
        <v>64269.292440672856</v>
      </c>
      <c r="F11" s="150"/>
    </row>
    <row r="13" spans="1:11" x14ac:dyDescent="0.25">
      <c r="A13" s="46" t="s">
        <v>246</v>
      </c>
    </row>
    <row r="14" spans="1:11" x14ac:dyDescent="0.25">
      <c r="A14" s="46" t="s">
        <v>247</v>
      </c>
      <c r="C14" s="59">
        <v>240000</v>
      </c>
    </row>
    <row r="15" spans="1:11" x14ac:dyDescent="0.25">
      <c r="A15" s="46" t="s">
        <v>248</v>
      </c>
      <c r="C15" s="59">
        <v>5000</v>
      </c>
    </row>
    <row r="16" spans="1:11" x14ac:dyDescent="0.25">
      <c r="A16" s="46" t="s">
        <v>249</v>
      </c>
      <c r="C16" s="59">
        <v>3000</v>
      </c>
    </row>
    <row r="17" spans="1:6" x14ac:dyDescent="0.25">
      <c r="A17" s="46" t="s">
        <v>250</v>
      </c>
      <c r="C17" s="59">
        <v>50000</v>
      </c>
    </row>
    <row r="18" spans="1:6" x14ac:dyDescent="0.25">
      <c r="A18" s="46" t="s">
        <v>251</v>
      </c>
      <c r="C18" s="59">
        <v>2000</v>
      </c>
    </row>
    <row r="20" spans="1:6" x14ac:dyDescent="0.25">
      <c r="A20" s="46" t="s">
        <v>252</v>
      </c>
    </row>
    <row r="21" spans="1:6" x14ac:dyDescent="0.25">
      <c r="A21" s="46" t="s">
        <v>253</v>
      </c>
    </row>
    <row r="23" spans="1:6" x14ac:dyDescent="0.25">
      <c r="A23" s="202" t="s">
        <v>121</v>
      </c>
      <c r="B23" s="202"/>
      <c r="C23" s="202"/>
      <c r="D23" s="202"/>
    </row>
    <row r="24" spans="1:6" x14ac:dyDescent="0.25">
      <c r="A24" s="202" t="s">
        <v>254</v>
      </c>
      <c r="B24" s="202"/>
      <c r="C24" s="202"/>
      <c r="D24" s="202"/>
    </row>
    <row r="25" spans="1:6" x14ac:dyDescent="0.25">
      <c r="A25" s="202" t="s">
        <v>270</v>
      </c>
      <c r="B25" s="202"/>
      <c r="C25" s="202"/>
      <c r="D25" s="202"/>
    </row>
    <row r="26" spans="1:6" x14ac:dyDescent="0.25">
      <c r="A26" s="202" t="s">
        <v>255</v>
      </c>
      <c r="B26" s="202"/>
      <c r="C26" s="202"/>
      <c r="D26" s="202"/>
    </row>
    <row r="27" spans="1:6" x14ac:dyDescent="0.25">
      <c r="A27" s="46" t="str">
        <f>A14</f>
        <v>Recebimento das vendas</v>
      </c>
      <c r="D27" s="60">
        <f>C14</f>
        <v>240000</v>
      </c>
    </row>
    <row r="28" spans="1:6" x14ac:dyDescent="0.25">
      <c r="A28" s="46" t="str">
        <f>A18</f>
        <v>Receita financeira</v>
      </c>
      <c r="D28" s="60">
        <f>C18</f>
        <v>2000</v>
      </c>
    </row>
    <row r="29" spans="1:6" x14ac:dyDescent="0.25">
      <c r="A29" s="46" t="s">
        <v>256</v>
      </c>
      <c r="D29" s="60">
        <f>SUM(C5:C6)</f>
        <v>2209.7690251977574</v>
      </c>
    </row>
    <row r="30" spans="1:6" x14ac:dyDescent="0.25">
      <c r="A30" s="151" t="s">
        <v>257</v>
      </c>
      <c r="B30" s="151"/>
      <c r="C30" s="151"/>
      <c r="D30" s="152">
        <f>D27+D28-D29</f>
        <v>239790.23097480225</v>
      </c>
      <c r="F30" s="60"/>
    </row>
    <row r="31" spans="1:6" x14ac:dyDescent="0.25">
      <c r="A31" s="221" t="s">
        <v>258</v>
      </c>
      <c r="B31" s="221"/>
      <c r="C31" s="221"/>
      <c r="D31" s="221"/>
      <c r="F31" s="60"/>
    </row>
    <row r="32" spans="1:6" x14ac:dyDescent="0.25">
      <c r="A32" s="153" t="s">
        <v>259</v>
      </c>
      <c r="B32" s="153"/>
      <c r="C32" s="153"/>
      <c r="D32" s="154">
        <f>C17</f>
        <v>50000</v>
      </c>
      <c r="F32" s="60"/>
    </row>
    <row r="33" spans="1:4" x14ac:dyDescent="0.25">
      <c r="A33" s="151" t="s">
        <v>260</v>
      </c>
      <c r="B33" s="153"/>
      <c r="C33" s="153"/>
      <c r="D33" s="152">
        <f>D32*-1</f>
        <v>-50000</v>
      </c>
    </row>
    <row r="34" spans="1:4" x14ac:dyDescent="0.25">
      <c r="A34" s="221" t="s">
        <v>261</v>
      </c>
      <c r="B34" s="221"/>
      <c r="C34" s="221"/>
      <c r="D34" s="221"/>
    </row>
    <row r="35" spans="1:4" x14ac:dyDescent="0.25">
      <c r="A35" s="153" t="s">
        <v>262</v>
      </c>
      <c r="B35" s="153"/>
      <c r="C35" s="153"/>
      <c r="D35" s="154">
        <f>K4</f>
        <v>60000</v>
      </c>
    </row>
    <row r="36" spans="1:4" x14ac:dyDescent="0.25">
      <c r="A36" s="153" t="s">
        <v>263</v>
      </c>
      <c r="B36" s="153"/>
      <c r="C36" s="153"/>
      <c r="D36" s="154">
        <f>SUM(D5:D6)</f>
        <v>19213.328455026531</v>
      </c>
    </row>
    <row r="37" spans="1:4" x14ac:dyDescent="0.25">
      <c r="A37" s="153" t="s">
        <v>264</v>
      </c>
      <c r="B37" s="153"/>
      <c r="C37" s="153"/>
      <c r="D37" s="154">
        <f>C15</f>
        <v>5000</v>
      </c>
    </row>
    <row r="38" spans="1:4" x14ac:dyDescent="0.25">
      <c r="A38" s="153" t="s">
        <v>265</v>
      </c>
      <c r="B38" s="153"/>
      <c r="C38" s="153"/>
      <c r="D38" s="154">
        <f>C16</f>
        <v>3000</v>
      </c>
    </row>
    <row r="39" spans="1:4" x14ac:dyDescent="0.25">
      <c r="A39" s="151" t="s">
        <v>266</v>
      </c>
      <c r="B39" s="153"/>
      <c r="C39" s="153"/>
      <c r="D39" s="152">
        <f>D35-D36-D37-D38</f>
        <v>32786.671544973469</v>
      </c>
    </row>
    <row r="40" spans="1:4" x14ac:dyDescent="0.25">
      <c r="A40" s="151" t="s">
        <v>267</v>
      </c>
      <c r="B40" s="151"/>
      <c r="C40" s="151"/>
      <c r="D40" s="152">
        <f>D30+D33+D39</f>
        <v>222576.90251977573</v>
      </c>
    </row>
    <row r="41" spans="1:4" x14ac:dyDescent="0.25">
      <c r="A41" s="151" t="s">
        <v>268</v>
      </c>
      <c r="B41" s="151"/>
      <c r="C41" s="151"/>
      <c r="D41" s="155">
        <v>50000</v>
      </c>
    </row>
    <row r="42" spans="1:4" x14ac:dyDescent="0.25">
      <c r="A42" s="151" t="s">
        <v>269</v>
      </c>
      <c r="B42" s="151"/>
      <c r="C42" s="151"/>
      <c r="D42" s="152">
        <f>SUM(D40:D41)</f>
        <v>272576.90251977573</v>
      </c>
    </row>
  </sheetData>
  <mergeCells count="8">
    <mergeCell ref="A2:F2"/>
    <mergeCell ref="C3:E3"/>
    <mergeCell ref="A26:D26"/>
    <mergeCell ref="A31:D31"/>
    <mergeCell ref="A34:D34"/>
    <mergeCell ref="A23:D23"/>
    <mergeCell ref="A24:D24"/>
    <mergeCell ref="A25:D2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F22" sqref="F22"/>
    </sheetView>
  </sheetViews>
  <sheetFormatPr defaultRowHeight="15.75" x14ac:dyDescent="0.25"/>
  <cols>
    <col min="1" max="1" width="9.140625" style="46"/>
    <col min="2" max="2" width="16.85546875" style="46" customWidth="1"/>
    <col min="3" max="4" width="16.28515625" style="46" bestFit="1" customWidth="1"/>
    <col min="5" max="5" width="15.140625" style="46" bestFit="1" customWidth="1"/>
    <col min="6" max="6" width="15.85546875" style="46" customWidth="1"/>
    <col min="7" max="7" width="13.5703125" style="46" customWidth="1"/>
    <col min="8" max="8" width="16.28515625" style="46" bestFit="1" customWidth="1"/>
    <col min="9" max="10" width="15.140625" style="46" bestFit="1" customWidth="1"/>
    <col min="11" max="16384" width="9.140625" style="46"/>
  </cols>
  <sheetData>
    <row r="1" spans="1:10" x14ac:dyDescent="0.25">
      <c r="A1" s="50" t="s">
        <v>422</v>
      </c>
    </row>
    <row r="2" spans="1:10" x14ac:dyDescent="0.25">
      <c r="A2" s="202" t="s">
        <v>271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x14ac:dyDescent="0.25">
      <c r="A3" s="225" t="s">
        <v>272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x14ac:dyDescent="0.25">
      <c r="A4" s="207" t="s">
        <v>56</v>
      </c>
      <c r="B4" s="208"/>
      <c r="C4" s="131">
        <v>2015</v>
      </c>
      <c r="D4" s="131">
        <v>2014</v>
      </c>
      <c r="E4" s="130" t="s">
        <v>273</v>
      </c>
      <c r="F4" s="206" t="s">
        <v>274</v>
      </c>
      <c r="G4" s="208"/>
      <c r="H4" s="131">
        <v>2015</v>
      </c>
      <c r="I4" s="131">
        <v>2014</v>
      </c>
      <c r="J4" s="131" t="s">
        <v>273</v>
      </c>
    </row>
    <row r="5" spans="1:10" x14ac:dyDescent="0.25">
      <c r="A5" s="107" t="s">
        <v>275</v>
      </c>
      <c r="B5" s="157"/>
      <c r="C5" s="127"/>
      <c r="D5" s="127"/>
      <c r="E5" s="158"/>
      <c r="F5" s="113" t="s">
        <v>275</v>
      </c>
      <c r="G5" s="116"/>
      <c r="H5" s="127"/>
      <c r="I5" s="127"/>
      <c r="J5" s="129"/>
    </row>
    <row r="6" spans="1:10" x14ac:dyDescent="0.25">
      <c r="A6" s="116" t="s">
        <v>175</v>
      </c>
      <c r="B6" s="117"/>
      <c r="C6" s="120">
        <v>7100</v>
      </c>
      <c r="D6" s="120">
        <v>2300</v>
      </c>
      <c r="E6" s="159">
        <f>C6-D6</f>
        <v>4800</v>
      </c>
      <c r="F6" s="108" t="s">
        <v>276</v>
      </c>
      <c r="G6" s="116"/>
      <c r="H6" s="120">
        <v>2800</v>
      </c>
      <c r="I6" s="120">
        <v>3800</v>
      </c>
      <c r="J6" s="128">
        <f>H6-I6</f>
        <v>-1000</v>
      </c>
    </row>
    <row r="7" spans="1:10" x14ac:dyDescent="0.25">
      <c r="A7" s="116" t="s">
        <v>277</v>
      </c>
      <c r="B7" s="117"/>
      <c r="C7" s="120">
        <v>7400</v>
      </c>
      <c r="D7" s="120"/>
      <c r="E7" s="159">
        <f t="shared" ref="E7:E22" si="0">C7-D7</f>
        <v>7400</v>
      </c>
      <c r="F7" s="108" t="s">
        <v>278</v>
      </c>
      <c r="G7" s="116"/>
      <c r="H7" s="120">
        <v>10800</v>
      </c>
      <c r="I7" s="120"/>
      <c r="J7" s="128"/>
    </row>
    <row r="8" spans="1:10" x14ac:dyDescent="0.25">
      <c r="A8" s="116" t="s">
        <v>147</v>
      </c>
      <c r="B8" s="117"/>
      <c r="C8" s="120">
        <v>5500</v>
      </c>
      <c r="D8" s="120">
        <v>4800</v>
      </c>
      <c r="E8" s="159">
        <f>C8-D8</f>
        <v>700</v>
      </c>
      <c r="F8" s="129" t="s">
        <v>279</v>
      </c>
      <c r="G8" s="108"/>
      <c r="H8" s="120">
        <v>12000</v>
      </c>
      <c r="I8" s="120">
        <v>4000</v>
      </c>
      <c r="J8" s="128">
        <f t="shared" ref="J8:J22" si="1">H8-I8</f>
        <v>8000</v>
      </c>
    </row>
    <row r="9" spans="1:10" x14ac:dyDescent="0.25">
      <c r="A9" s="116" t="s">
        <v>280</v>
      </c>
      <c r="B9" s="117"/>
      <c r="C9" s="120">
        <v>4400</v>
      </c>
      <c r="D9" s="120">
        <v>3500</v>
      </c>
      <c r="E9" s="159">
        <f>C9-D9</f>
        <v>900</v>
      </c>
      <c r="F9" s="108" t="s">
        <v>281</v>
      </c>
      <c r="G9" s="116"/>
      <c r="H9" s="120">
        <v>1700</v>
      </c>
      <c r="I9" s="120">
        <v>2100</v>
      </c>
      <c r="J9" s="128">
        <f t="shared" si="1"/>
        <v>-400</v>
      </c>
    </row>
    <row r="10" spans="1:10" x14ac:dyDescent="0.25">
      <c r="A10" s="116"/>
      <c r="B10" s="117"/>
      <c r="C10" s="120"/>
      <c r="D10" s="120"/>
      <c r="E10" s="159"/>
      <c r="F10" s="108" t="s">
        <v>282</v>
      </c>
      <c r="G10" s="116"/>
      <c r="H10" s="120">
        <v>400</v>
      </c>
      <c r="I10" s="120">
        <v>1300</v>
      </c>
      <c r="J10" s="128">
        <f t="shared" si="1"/>
        <v>-900</v>
      </c>
    </row>
    <row r="11" spans="1:10" x14ac:dyDescent="0.25">
      <c r="A11" s="160" t="s">
        <v>283</v>
      </c>
      <c r="B11" s="117"/>
      <c r="C11" s="161">
        <f>SUM(C6:C9)</f>
        <v>24400</v>
      </c>
      <c r="D11" s="161">
        <f>SUM(D6:D9)</f>
        <v>10600</v>
      </c>
      <c r="E11" s="162">
        <f t="shared" si="0"/>
        <v>13800</v>
      </c>
      <c r="F11" s="129" t="s">
        <v>284</v>
      </c>
      <c r="G11" s="108"/>
      <c r="H11" s="120">
        <v>2300</v>
      </c>
      <c r="I11" s="120">
        <v>2600</v>
      </c>
      <c r="J11" s="128">
        <f t="shared" si="1"/>
        <v>-300</v>
      </c>
    </row>
    <row r="12" spans="1:10" x14ac:dyDescent="0.25">
      <c r="A12" s="116"/>
      <c r="B12" s="117"/>
      <c r="C12" s="120"/>
      <c r="D12" s="120"/>
      <c r="E12" s="159"/>
      <c r="F12" s="129" t="s">
        <v>177</v>
      </c>
      <c r="G12" s="108"/>
      <c r="H12" s="120">
        <v>4000</v>
      </c>
      <c r="I12" s="120">
        <v>1400</v>
      </c>
      <c r="J12" s="128">
        <f t="shared" si="1"/>
        <v>2600</v>
      </c>
    </row>
    <row r="13" spans="1:10" x14ac:dyDescent="0.25">
      <c r="A13" s="160" t="s">
        <v>285</v>
      </c>
      <c r="B13" s="117"/>
      <c r="C13" s="120"/>
      <c r="D13" s="120"/>
      <c r="E13" s="159"/>
      <c r="F13" s="132" t="s">
        <v>283</v>
      </c>
      <c r="G13" s="113"/>
      <c r="H13" s="161">
        <f>SUM(H6:H12)</f>
        <v>34000</v>
      </c>
      <c r="I13" s="161">
        <f>SUM(I6:I12)</f>
        <v>15200</v>
      </c>
      <c r="J13" s="128">
        <f>H13-I13</f>
        <v>18800</v>
      </c>
    </row>
    <row r="14" spans="1:10" x14ac:dyDescent="0.25">
      <c r="A14" s="116"/>
      <c r="B14" s="117"/>
      <c r="C14" s="120"/>
      <c r="D14" s="120"/>
      <c r="E14" s="159"/>
      <c r="F14" s="113" t="s">
        <v>285</v>
      </c>
      <c r="G14" s="116"/>
      <c r="H14" s="120"/>
      <c r="I14" s="120"/>
      <c r="J14" s="128"/>
    </row>
    <row r="15" spans="1:10" x14ac:dyDescent="0.25">
      <c r="A15" s="116" t="s">
        <v>286</v>
      </c>
      <c r="B15" s="117"/>
      <c r="C15" s="120">
        <v>20000</v>
      </c>
      <c r="D15" s="120">
        <v>18000</v>
      </c>
      <c r="E15" s="159">
        <f t="shared" si="0"/>
        <v>2000</v>
      </c>
      <c r="F15" s="129" t="s">
        <v>287</v>
      </c>
      <c r="G15" s="108"/>
      <c r="H15" s="120">
        <v>10000</v>
      </c>
      <c r="I15" s="120">
        <v>10000</v>
      </c>
      <c r="J15" s="128">
        <f t="shared" si="1"/>
        <v>0</v>
      </c>
    </row>
    <row r="16" spans="1:10" x14ac:dyDescent="0.25">
      <c r="A16" s="116"/>
      <c r="B16" s="117"/>
      <c r="C16" s="120"/>
      <c r="D16" s="120"/>
      <c r="E16" s="159"/>
      <c r="F16" s="108"/>
      <c r="G16" s="116"/>
      <c r="H16" s="120"/>
      <c r="I16" s="120"/>
      <c r="J16" s="128"/>
    </row>
    <row r="17" spans="1:10" x14ac:dyDescent="0.25">
      <c r="A17" s="116" t="s">
        <v>288</v>
      </c>
      <c r="B17" s="117"/>
      <c r="C17" s="120">
        <v>64000</v>
      </c>
      <c r="D17" s="120">
        <v>28000</v>
      </c>
      <c r="E17" s="159">
        <f t="shared" si="0"/>
        <v>36000</v>
      </c>
      <c r="F17" s="129" t="s">
        <v>289</v>
      </c>
      <c r="G17" s="108"/>
      <c r="H17" s="161"/>
      <c r="I17" s="161"/>
      <c r="J17" s="128"/>
    </row>
    <row r="18" spans="1:10" x14ac:dyDescent="0.25">
      <c r="A18" s="116" t="s">
        <v>290</v>
      </c>
      <c r="B18" s="117"/>
      <c r="C18" s="120">
        <v>4000</v>
      </c>
      <c r="D18" s="120"/>
      <c r="E18" s="159">
        <f>C18-D18</f>
        <v>4000</v>
      </c>
      <c r="F18" s="108" t="s">
        <v>143</v>
      </c>
      <c r="G18" s="116"/>
      <c r="H18" s="120">
        <v>49900</v>
      </c>
      <c r="I18" s="120">
        <v>28700</v>
      </c>
      <c r="J18" s="128">
        <f t="shared" si="1"/>
        <v>21200</v>
      </c>
    </row>
    <row r="19" spans="1:10" x14ac:dyDescent="0.25">
      <c r="A19" s="116" t="s">
        <v>291</v>
      </c>
      <c r="B19" s="117"/>
      <c r="C19" s="120">
        <v>3000</v>
      </c>
      <c r="D19" s="120"/>
      <c r="E19" s="159">
        <f t="shared" si="0"/>
        <v>3000</v>
      </c>
      <c r="F19" s="129" t="s">
        <v>292</v>
      </c>
      <c r="G19" s="108"/>
      <c r="H19" s="120">
        <v>3140</v>
      </c>
      <c r="I19" s="120">
        <v>2700</v>
      </c>
      <c r="J19" s="128">
        <f t="shared" si="1"/>
        <v>440</v>
      </c>
    </row>
    <row r="20" spans="1:10" x14ac:dyDescent="0.25">
      <c r="A20" s="116"/>
      <c r="B20" s="117"/>
      <c r="C20" s="120"/>
      <c r="D20" s="120"/>
      <c r="E20" s="159"/>
      <c r="F20" s="108" t="s">
        <v>163</v>
      </c>
      <c r="G20" s="117"/>
      <c r="H20" s="120">
        <v>4360</v>
      </c>
      <c r="I20" s="120"/>
      <c r="J20" s="128">
        <f t="shared" si="1"/>
        <v>4360</v>
      </c>
    </row>
    <row r="21" spans="1:10" x14ac:dyDescent="0.25">
      <c r="A21" s="116"/>
      <c r="B21" s="117"/>
      <c r="C21" s="120"/>
      <c r="D21" s="120"/>
      <c r="E21" s="159"/>
      <c r="F21" s="113" t="s">
        <v>293</v>
      </c>
      <c r="G21" s="160"/>
      <c r="H21" s="161">
        <f>SUM(H18:H20)</f>
        <v>57400</v>
      </c>
      <c r="I21" s="161">
        <f>SUM(I18:I20)</f>
        <v>31400</v>
      </c>
      <c r="J21" s="163">
        <f t="shared" si="1"/>
        <v>26000</v>
      </c>
    </row>
    <row r="22" spans="1:10" x14ac:dyDescent="0.25">
      <c r="A22" s="160" t="s">
        <v>294</v>
      </c>
      <c r="B22" s="164"/>
      <c r="C22" s="161">
        <f>C11+C15+C17-C18-C19</f>
        <v>101400</v>
      </c>
      <c r="D22" s="161">
        <f>D11+D15+D17</f>
        <v>56600</v>
      </c>
      <c r="E22" s="162">
        <f t="shared" si="0"/>
        <v>44800</v>
      </c>
      <c r="F22" s="132" t="s">
        <v>295</v>
      </c>
      <c r="G22" s="113"/>
      <c r="H22" s="161">
        <f>H13+H15+H21</f>
        <v>101400</v>
      </c>
      <c r="I22" s="161">
        <f>I13+I15+I18+I19</f>
        <v>56600</v>
      </c>
      <c r="J22" s="163">
        <f t="shared" si="1"/>
        <v>44800</v>
      </c>
    </row>
    <row r="23" spans="1:10" x14ac:dyDescent="0.25">
      <c r="A23" s="121"/>
      <c r="B23" s="121"/>
      <c r="C23" s="165"/>
      <c r="D23" s="165"/>
      <c r="E23" s="166"/>
      <c r="F23" s="121"/>
      <c r="G23" s="121"/>
      <c r="H23" s="165"/>
      <c r="I23" s="165"/>
      <c r="J23" s="167"/>
    </row>
    <row r="24" spans="1:10" x14ac:dyDescent="0.25">
      <c r="A24" s="202" t="s">
        <v>271</v>
      </c>
      <c r="B24" s="202"/>
      <c r="C24" s="202"/>
      <c r="D24" s="202"/>
      <c r="E24" s="87"/>
      <c r="F24" s="64"/>
    </row>
    <row r="25" spans="1:10" x14ac:dyDescent="0.25">
      <c r="A25" s="168" t="s">
        <v>296</v>
      </c>
      <c r="B25" s="168"/>
      <c r="C25" s="168"/>
      <c r="D25" s="168"/>
      <c r="E25" s="169"/>
      <c r="F25" s="156"/>
    </row>
    <row r="26" spans="1:10" x14ac:dyDescent="0.25">
      <c r="A26" s="113" t="s">
        <v>297</v>
      </c>
      <c r="B26" s="160"/>
      <c r="C26" s="160"/>
      <c r="D26" s="161">
        <v>100000</v>
      </c>
      <c r="E26" s="170"/>
    </row>
    <row r="27" spans="1:10" x14ac:dyDescent="0.25">
      <c r="A27" s="108" t="s">
        <v>298</v>
      </c>
      <c r="B27" s="116"/>
      <c r="C27" s="116"/>
      <c r="D27" s="120">
        <v>20000</v>
      </c>
      <c r="E27" s="170"/>
    </row>
    <row r="28" spans="1:10" x14ac:dyDescent="0.25">
      <c r="A28" s="113" t="s">
        <v>299</v>
      </c>
      <c r="B28" s="160"/>
      <c r="C28" s="160"/>
      <c r="D28" s="161">
        <f>D26-D27</f>
        <v>80000</v>
      </c>
      <c r="E28" s="170"/>
    </row>
    <row r="29" spans="1:10" x14ac:dyDescent="0.25">
      <c r="A29" s="108" t="s">
        <v>125</v>
      </c>
      <c r="B29" s="116"/>
      <c r="C29" s="116"/>
      <c r="D29" s="120">
        <v>41100</v>
      </c>
      <c r="E29" s="170"/>
    </row>
    <row r="30" spans="1:10" x14ac:dyDescent="0.25">
      <c r="A30" s="113" t="s">
        <v>300</v>
      </c>
      <c r="B30" s="160"/>
      <c r="C30" s="160"/>
      <c r="D30" s="161">
        <f>D28-D29</f>
        <v>38900</v>
      </c>
      <c r="E30" s="170"/>
    </row>
    <row r="31" spans="1:10" x14ac:dyDescent="0.25">
      <c r="A31" s="108" t="s">
        <v>301</v>
      </c>
      <c r="B31" s="116"/>
      <c r="C31" s="116"/>
      <c r="D31" s="120">
        <v>24200</v>
      </c>
      <c r="E31" s="170"/>
    </row>
    <row r="32" spans="1:10" x14ac:dyDescent="0.25">
      <c r="A32" s="108" t="s">
        <v>302</v>
      </c>
      <c r="B32" s="116"/>
      <c r="C32" s="116"/>
      <c r="D32" s="120">
        <v>3000</v>
      </c>
      <c r="E32" s="170"/>
      <c r="G32" s="64"/>
      <c r="H32" s="64"/>
      <c r="I32" s="64"/>
      <c r="J32" s="64"/>
    </row>
    <row r="33" spans="1:9" x14ac:dyDescent="0.25">
      <c r="A33" s="108" t="s">
        <v>303</v>
      </c>
      <c r="B33" s="116"/>
      <c r="C33" s="116"/>
      <c r="D33" s="120">
        <v>1000</v>
      </c>
      <c r="E33" s="170"/>
    </row>
    <row r="34" spans="1:9" x14ac:dyDescent="0.25">
      <c r="A34" s="108" t="s">
        <v>304</v>
      </c>
      <c r="B34" s="116"/>
      <c r="C34" s="116"/>
      <c r="D34" s="120">
        <v>2000</v>
      </c>
      <c r="E34" s="170"/>
    </row>
    <row r="35" spans="1:9" x14ac:dyDescent="0.25">
      <c r="A35" s="113" t="s">
        <v>305</v>
      </c>
      <c r="B35" s="160"/>
      <c r="C35" s="160"/>
      <c r="D35" s="120">
        <f>D30-D31-D32-D33+D34</f>
        <v>12700</v>
      </c>
      <c r="E35" s="170"/>
    </row>
    <row r="36" spans="1:9" x14ac:dyDescent="0.25">
      <c r="A36" s="108" t="s">
        <v>306</v>
      </c>
      <c r="B36" s="116"/>
      <c r="C36" s="116"/>
      <c r="D36" s="120">
        <v>400</v>
      </c>
      <c r="E36" s="170"/>
    </row>
    <row r="37" spans="1:9" x14ac:dyDescent="0.25">
      <c r="A37" s="108" t="s">
        <v>307</v>
      </c>
      <c r="B37" s="116"/>
      <c r="C37" s="116"/>
      <c r="D37" s="120">
        <v>2800</v>
      </c>
      <c r="E37" s="170"/>
    </row>
    <row r="38" spans="1:9" x14ac:dyDescent="0.25">
      <c r="A38" s="113" t="s">
        <v>308</v>
      </c>
      <c r="B38" s="160"/>
      <c r="C38" s="160"/>
      <c r="D38" s="161">
        <f>D35+D36-D37</f>
        <v>10300</v>
      </c>
      <c r="E38" s="170"/>
    </row>
    <row r="39" spans="1:9" x14ac:dyDescent="0.25">
      <c r="A39" s="108" t="s">
        <v>309</v>
      </c>
      <c r="B39" s="116"/>
      <c r="C39" s="116"/>
      <c r="D39" s="120">
        <v>1500</v>
      </c>
      <c r="E39" s="170"/>
    </row>
    <row r="40" spans="1:9" x14ac:dyDescent="0.25">
      <c r="A40" s="113" t="s">
        <v>310</v>
      </c>
      <c r="B40" s="160"/>
      <c r="C40" s="160"/>
      <c r="D40" s="161">
        <f>D38-D39</f>
        <v>8800</v>
      </c>
      <c r="E40" s="166"/>
    </row>
    <row r="41" spans="1:9" x14ac:dyDescent="0.25">
      <c r="A41" s="226"/>
      <c r="B41" s="226"/>
      <c r="C41" s="87"/>
      <c r="D41" s="87"/>
      <c r="E41" s="87"/>
      <c r="F41" s="87"/>
      <c r="G41" s="87"/>
      <c r="H41" s="87"/>
      <c r="I41" s="87"/>
    </row>
    <row r="42" spans="1:9" x14ac:dyDescent="0.25">
      <c r="A42" s="205" t="s">
        <v>311</v>
      </c>
      <c r="B42" s="205"/>
      <c r="C42" s="205"/>
      <c r="D42" s="205"/>
      <c r="E42" s="205"/>
      <c r="F42" s="205"/>
    </row>
    <row r="43" spans="1:9" x14ac:dyDescent="0.25">
      <c r="A43" s="207" t="s">
        <v>255</v>
      </c>
      <c r="B43" s="207"/>
      <c r="C43" s="207"/>
      <c r="D43" s="207"/>
      <c r="E43" s="208"/>
      <c r="F43" s="131"/>
    </row>
    <row r="44" spans="1:9" x14ac:dyDescent="0.25">
      <c r="A44" s="171" t="s">
        <v>312</v>
      </c>
      <c r="B44" s="116"/>
      <c r="C44" s="116"/>
      <c r="D44" s="116"/>
      <c r="E44" s="116"/>
      <c r="F44" s="172">
        <f>D40</f>
        <v>8800</v>
      </c>
    </row>
    <row r="45" spans="1:9" x14ac:dyDescent="0.25">
      <c r="A45" s="173" t="s">
        <v>313</v>
      </c>
      <c r="B45" s="116"/>
      <c r="C45" s="116"/>
      <c r="D45" s="116"/>
      <c r="E45" s="116"/>
      <c r="F45" s="129"/>
    </row>
    <row r="46" spans="1:9" x14ac:dyDescent="0.25">
      <c r="A46" s="171" t="s">
        <v>314</v>
      </c>
      <c r="B46" s="116"/>
      <c r="C46" s="116"/>
      <c r="D46" s="116"/>
      <c r="E46" s="116"/>
      <c r="F46" s="133">
        <v>4000</v>
      </c>
    </row>
    <row r="47" spans="1:9" x14ac:dyDescent="0.25">
      <c r="A47" s="171" t="s">
        <v>315</v>
      </c>
      <c r="B47" s="116"/>
      <c r="C47" s="116"/>
      <c r="D47" s="116"/>
      <c r="E47" s="116"/>
      <c r="F47" s="133">
        <v>3000</v>
      </c>
    </row>
    <row r="48" spans="1:9" x14ac:dyDescent="0.25">
      <c r="A48" s="171" t="s">
        <v>316</v>
      </c>
      <c r="B48" s="116"/>
      <c r="C48" s="116"/>
      <c r="D48" s="116"/>
      <c r="E48" s="116"/>
      <c r="F48" s="133">
        <v>1000</v>
      </c>
    </row>
    <row r="49" spans="1:6" x14ac:dyDescent="0.25">
      <c r="A49" s="171" t="s">
        <v>317</v>
      </c>
      <c r="B49" s="116"/>
      <c r="C49" s="116"/>
      <c r="D49" s="116"/>
      <c r="E49" s="116"/>
      <c r="F49" s="133">
        <v>400</v>
      </c>
    </row>
    <row r="50" spans="1:6" x14ac:dyDescent="0.25">
      <c r="A50" s="171" t="s">
        <v>318</v>
      </c>
      <c r="B50" s="116"/>
      <c r="C50" s="116"/>
      <c r="D50" s="116"/>
      <c r="E50" s="116"/>
      <c r="F50" s="133">
        <v>2000</v>
      </c>
    </row>
    <row r="51" spans="1:6" x14ac:dyDescent="0.25">
      <c r="A51" s="173" t="s">
        <v>319</v>
      </c>
      <c r="B51" s="116"/>
      <c r="C51" s="116"/>
      <c r="D51" s="116"/>
      <c r="E51" s="116"/>
      <c r="F51" s="163">
        <f>F44+F46+F47+F48-F49-F50</f>
        <v>14400</v>
      </c>
    </row>
    <row r="52" spans="1:6" x14ac:dyDescent="0.25">
      <c r="A52" s="171" t="s">
        <v>320</v>
      </c>
      <c r="B52" s="116"/>
      <c r="C52" s="116"/>
      <c r="D52" s="116"/>
      <c r="E52" s="116"/>
      <c r="F52" s="129"/>
    </row>
    <row r="53" spans="1:6" x14ac:dyDescent="0.25">
      <c r="A53" s="171" t="s">
        <v>321</v>
      </c>
      <c r="B53" s="116"/>
      <c r="C53" s="116"/>
      <c r="D53" s="116"/>
      <c r="E53" s="116"/>
      <c r="F53" s="120">
        <f>E8*-1</f>
        <v>-700</v>
      </c>
    </row>
    <row r="54" spans="1:6" x14ac:dyDescent="0.25">
      <c r="A54" s="171" t="s">
        <v>322</v>
      </c>
      <c r="B54" s="116"/>
      <c r="C54" s="116"/>
      <c r="D54" s="116"/>
      <c r="E54" s="116"/>
      <c r="F54" s="120">
        <f>E9*-1</f>
        <v>-900</v>
      </c>
    </row>
    <row r="55" spans="1:6" x14ac:dyDescent="0.25">
      <c r="A55" s="171" t="s">
        <v>323</v>
      </c>
      <c r="B55" s="116"/>
      <c r="C55" s="116"/>
      <c r="D55" s="116"/>
      <c r="E55" s="116"/>
      <c r="F55" s="120">
        <f>J6</f>
        <v>-1000</v>
      </c>
    </row>
    <row r="56" spans="1:6" x14ac:dyDescent="0.25">
      <c r="A56" s="171" t="s">
        <v>324</v>
      </c>
      <c r="B56" s="116"/>
      <c r="C56" s="116"/>
      <c r="D56" s="116"/>
      <c r="E56" s="116"/>
      <c r="F56" s="120">
        <f>J9</f>
        <v>-400</v>
      </c>
    </row>
    <row r="57" spans="1:6" x14ac:dyDescent="0.25">
      <c r="A57" s="171" t="s">
        <v>325</v>
      </c>
      <c r="B57" s="116"/>
      <c r="C57" s="116"/>
      <c r="D57" s="116"/>
      <c r="E57" s="116"/>
      <c r="F57" s="120">
        <f>J10</f>
        <v>-900</v>
      </c>
    </row>
    <row r="58" spans="1:6" x14ac:dyDescent="0.25">
      <c r="A58" s="171" t="s">
        <v>326</v>
      </c>
      <c r="B58" s="116"/>
      <c r="C58" s="116"/>
      <c r="D58" s="116"/>
      <c r="E58" s="116"/>
      <c r="F58" s="120">
        <f>J11</f>
        <v>-300</v>
      </c>
    </row>
    <row r="59" spans="1:6" x14ac:dyDescent="0.25">
      <c r="A59" s="173" t="s">
        <v>327</v>
      </c>
      <c r="B59" s="116"/>
      <c r="C59" s="116"/>
      <c r="D59" s="116"/>
      <c r="E59" s="116"/>
      <c r="F59" s="161">
        <f>SUM(F51:F58)</f>
        <v>10200</v>
      </c>
    </row>
    <row r="60" spans="1:6" x14ac:dyDescent="0.25">
      <c r="A60" s="222" t="s">
        <v>258</v>
      </c>
      <c r="B60" s="223"/>
      <c r="C60" s="223"/>
      <c r="D60" s="223"/>
      <c r="E60" s="224"/>
      <c r="F60" s="120"/>
    </row>
    <row r="61" spans="1:6" x14ac:dyDescent="0.25">
      <c r="A61" s="171" t="s">
        <v>328</v>
      </c>
      <c r="B61" s="116"/>
      <c r="C61" s="116"/>
      <c r="D61" s="116"/>
      <c r="E61" s="116"/>
      <c r="F61" s="120">
        <v>7000</v>
      </c>
    </row>
    <row r="62" spans="1:6" x14ac:dyDescent="0.25">
      <c r="A62" s="171" t="s">
        <v>329</v>
      </c>
      <c r="B62" s="116"/>
      <c r="C62" s="116"/>
      <c r="D62" s="116"/>
      <c r="E62" s="116"/>
      <c r="F62" s="120">
        <f>36000*-1</f>
        <v>-36000</v>
      </c>
    </row>
    <row r="63" spans="1:6" x14ac:dyDescent="0.25">
      <c r="A63" s="171" t="s">
        <v>330</v>
      </c>
      <c r="B63" s="116"/>
      <c r="C63" s="116"/>
      <c r="D63" s="116"/>
      <c r="E63" s="116"/>
      <c r="F63" s="120">
        <f>7000*-1</f>
        <v>-7000</v>
      </c>
    </row>
    <row r="64" spans="1:6" x14ac:dyDescent="0.25">
      <c r="A64" s="173" t="s">
        <v>331</v>
      </c>
      <c r="B64" s="116"/>
      <c r="C64" s="116"/>
      <c r="D64" s="116"/>
      <c r="E64" s="116"/>
      <c r="F64" s="163">
        <f>SUM(F61:F63)</f>
        <v>-36000</v>
      </c>
    </row>
    <row r="65" spans="1:6" x14ac:dyDescent="0.25">
      <c r="A65" s="222" t="s">
        <v>261</v>
      </c>
      <c r="B65" s="223"/>
      <c r="C65" s="223"/>
      <c r="D65" s="223"/>
      <c r="E65" s="224"/>
      <c r="F65" s="129"/>
    </row>
    <row r="66" spans="1:6" x14ac:dyDescent="0.25">
      <c r="A66" s="171" t="s">
        <v>332</v>
      </c>
      <c r="B66" s="116"/>
      <c r="C66" s="116"/>
      <c r="D66" s="116"/>
      <c r="E66" s="116"/>
      <c r="F66" s="120">
        <v>20000</v>
      </c>
    </row>
    <row r="67" spans="1:6" x14ac:dyDescent="0.25">
      <c r="A67" s="171" t="s">
        <v>333</v>
      </c>
      <c r="B67" s="116"/>
      <c r="C67" s="116"/>
      <c r="D67" s="116"/>
      <c r="E67" s="116"/>
      <c r="F67" s="120">
        <v>21200</v>
      </c>
    </row>
    <row r="68" spans="1:6" x14ac:dyDescent="0.25">
      <c r="A68" s="171" t="s">
        <v>334</v>
      </c>
      <c r="B68" s="116"/>
      <c r="C68" s="116"/>
      <c r="D68" s="116"/>
      <c r="E68" s="116"/>
      <c r="F68" s="120">
        <f>9200*-1</f>
        <v>-9200</v>
      </c>
    </row>
    <row r="69" spans="1:6" x14ac:dyDescent="0.25">
      <c r="A69" s="171" t="s">
        <v>335</v>
      </c>
      <c r="B69" s="116"/>
      <c r="C69" s="116"/>
      <c r="D69" s="116"/>
      <c r="E69" s="116"/>
      <c r="F69" s="120">
        <f>1400*-1</f>
        <v>-1400</v>
      </c>
    </row>
    <row r="70" spans="1:6" x14ac:dyDescent="0.25">
      <c r="A70" s="173" t="s">
        <v>336</v>
      </c>
      <c r="B70" s="116"/>
      <c r="C70" s="116"/>
      <c r="D70" s="116"/>
      <c r="E70" s="116"/>
      <c r="F70" s="161">
        <f>SUM(F66:F69)</f>
        <v>30600</v>
      </c>
    </row>
    <row r="71" spans="1:6" x14ac:dyDescent="0.25">
      <c r="A71" s="173" t="s">
        <v>337</v>
      </c>
      <c r="B71" s="116"/>
      <c r="C71" s="116"/>
      <c r="D71" s="116"/>
      <c r="E71" s="116"/>
      <c r="F71" s="174">
        <f>F59+F70+F64</f>
        <v>4800</v>
      </c>
    </row>
    <row r="72" spans="1:6" x14ac:dyDescent="0.25">
      <c r="A72" s="175" t="s">
        <v>338</v>
      </c>
      <c r="B72" s="160"/>
      <c r="C72" s="160"/>
      <c r="D72" s="160"/>
      <c r="E72" s="116"/>
      <c r="F72" s="133">
        <v>2300</v>
      </c>
    </row>
    <row r="73" spans="1:6" x14ac:dyDescent="0.25">
      <c r="A73" s="173" t="s">
        <v>339</v>
      </c>
      <c r="B73" s="116"/>
      <c r="C73" s="116"/>
      <c r="D73" s="116"/>
      <c r="E73" s="116"/>
      <c r="F73" s="174">
        <f>F71+F72</f>
        <v>7100</v>
      </c>
    </row>
  </sheetData>
  <mergeCells count="10">
    <mergeCell ref="A42:F42"/>
    <mergeCell ref="A43:E43"/>
    <mergeCell ref="A60:E60"/>
    <mergeCell ref="A65:E65"/>
    <mergeCell ref="A2:J2"/>
    <mergeCell ref="A3:J3"/>
    <mergeCell ref="A4:B4"/>
    <mergeCell ref="F4:G4"/>
    <mergeCell ref="A24:D24"/>
    <mergeCell ref="A41:B4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47" workbookViewId="0">
      <selection activeCell="A56" sqref="A56"/>
    </sheetView>
  </sheetViews>
  <sheetFormatPr defaultRowHeight="15.75" x14ac:dyDescent="0.25"/>
  <cols>
    <col min="1" max="2" width="9.140625" style="46"/>
    <col min="3" max="3" width="39.140625" style="46" customWidth="1"/>
    <col min="4" max="4" width="17.42578125" style="46" customWidth="1"/>
    <col min="5" max="5" width="15.140625" style="46" bestFit="1" customWidth="1"/>
    <col min="6" max="6" width="16.28515625" style="46" bestFit="1" customWidth="1"/>
    <col min="7" max="7" width="15.140625" style="46" bestFit="1" customWidth="1"/>
    <col min="8" max="8" width="16.28515625" style="46" customWidth="1"/>
    <col min="9" max="9" width="12.140625" style="46" bestFit="1" customWidth="1"/>
    <col min="10" max="16384" width="9.140625" style="46"/>
  </cols>
  <sheetData>
    <row r="1" spans="1:6" x14ac:dyDescent="0.25">
      <c r="A1" s="50" t="s">
        <v>340</v>
      </c>
      <c r="B1" s="50"/>
      <c r="C1" s="50"/>
      <c r="D1" s="50"/>
      <c r="E1" s="50"/>
      <c r="F1" s="50"/>
    </row>
    <row r="2" spans="1:6" x14ac:dyDescent="0.25">
      <c r="A2" s="205" t="s">
        <v>341</v>
      </c>
      <c r="B2" s="205"/>
      <c r="C2" s="205"/>
      <c r="D2" s="205"/>
      <c r="E2" s="227"/>
      <c r="F2" s="227"/>
    </row>
    <row r="3" spans="1:6" x14ac:dyDescent="0.25">
      <c r="A3" s="113" t="s">
        <v>342</v>
      </c>
      <c r="B3" s="116"/>
      <c r="C3" s="116"/>
      <c r="D3" s="133">
        <v>9600</v>
      </c>
      <c r="E3" s="176"/>
      <c r="F3" s="170"/>
    </row>
    <row r="4" spans="1:6" x14ac:dyDescent="0.25">
      <c r="A4" s="108" t="s">
        <v>343</v>
      </c>
      <c r="B4" s="116"/>
      <c r="C4" s="116"/>
      <c r="D4" s="133">
        <v>5000</v>
      </c>
      <c r="E4" s="176"/>
      <c r="F4" s="170"/>
    </row>
    <row r="5" spans="1:6" x14ac:dyDescent="0.25">
      <c r="A5" s="113" t="s">
        <v>344</v>
      </c>
      <c r="B5" s="160"/>
      <c r="C5" s="116"/>
      <c r="D5" s="133">
        <f>D3-D4</f>
        <v>4600</v>
      </c>
      <c r="E5" s="176"/>
      <c r="F5" s="170"/>
    </row>
    <row r="6" spans="1:6" x14ac:dyDescent="0.25">
      <c r="A6" s="108" t="s">
        <v>345</v>
      </c>
      <c r="B6" s="116"/>
      <c r="C6" s="116"/>
      <c r="D6" s="133">
        <v>2200</v>
      </c>
      <c r="E6" s="176"/>
      <c r="F6" s="170"/>
    </row>
    <row r="7" spans="1:6" x14ac:dyDescent="0.25">
      <c r="A7" s="108" t="s">
        <v>346</v>
      </c>
      <c r="B7" s="116"/>
      <c r="C7" s="116"/>
      <c r="D7" s="133">
        <v>300</v>
      </c>
      <c r="E7" s="176"/>
      <c r="F7" s="170"/>
    </row>
    <row r="8" spans="1:6" x14ac:dyDescent="0.25">
      <c r="A8" s="108" t="s">
        <v>347</v>
      </c>
      <c r="B8" s="116"/>
      <c r="C8" s="116"/>
      <c r="D8" s="133">
        <v>100</v>
      </c>
      <c r="E8" s="176"/>
      <c r="F8" s="170"/>
    </row>
    <row r="9" spans="1:6" x14ac:dyDescent="0.25">
      <c r="A9" s="108" t="s">
        <v>348</v>
      </c>
      <c r="B9" s="116"/>
      <c r="C9" s="116"/>
      <c r="D9" s="133">
        <v>300</v>
      </c>
      <c r="E9" s="176"/>
      <c r="F9" s="170"/>
    </row>
    <row r="10" spans="1:6" x14ac:dyDescent="0.25">
      <c r="A10" s="108" t="s">
        <v>349</v>
      </c>
      <c r="B10" s="116"/>
      <c r="C10" s="116"/>
      <c r="D10" s="133">
        <v>150</v>
      </c>
      <c r="E10" s="176"/>
      <c r="F10" s="170"/>
    </row>
    <row r="11" spans="1:6" x14ac:dyDescent="0.25">
      <c r="A11" s="113" t="s">
        <v>350</v>
      </c>
      <c r="B11" s="116"/>
      <c r="C11" s="116"/>
      <c r="D11" s="133">
        <f>D5-D6+D7+D8-D9-D10</f>
        <v>2350</v>
      </c>
      <c r="E11" s="176"/>
      <c r="F11" s="170"/>
    </row>
    <row r="12" spans="1:6" x14ac:dyDescent="0.25">
      <c r="A12" s="108" t="s">
        <v>351</v>
      </c>
      <c r="B12" s="116"/>
      <c r="C12" s="116"/>
      <c r="D12" s="133">
        <v>500</v>
      </c>
      <c r="E12" s="176"/>
      <c r="F12" s="170"/>
    </row>
    <row r="13" spans="1:6" x14ac:dyDescent="0.25">
      <c r="A13" s="113" t="s">
        <v>352</v>
      </c>
      <c r="B13" s="116"/>
      <c r="C13" s="116"/>
      <c r="D13" s="133">
        <f>D11-D12</f>
        <v>1850</v>
      </c>
      <c r="E13" s="176"/>
      <c r="F13" s="170"/>
    </row>
    <row r="14" spans="1:6" x14ac:dyDescent="0.25">
      <c r="A14" s="108" t="s">
        <v>353</v>
      </c>
      <c r="B14" s="116"/>
      <c r="C14" s="116"/>
      <c r="D14" s="133">
        <v>600</v>
      </c>
      <c r="E14" s="176"/>
      <c r="F14" s="170"/>
    </row>
    <row r="15" spans="1:6" x14ac:dyDescent="0.25">
      <c r="A15" s="113" t="s">
        <v>354</v>
      </c>
      <c r="B15" s="160"/>
      <c r="C15" s="160"/>
      <c r="D15" s="174">
        <f>D13-D14</f>
        <v>1250</v>
      </c>
      <c r="E15" s="177"/>
      <c r="F15" s="166"/>
    </row>
    <row r="16" spans="1:6" x14ac:dyDescent="0.25">
      <c r="A16" s="178"/>
      <c r="B16" s="179"/>
      <c r="C16" s="179"/>
      <c r="D16" s="180"/>
      <c r="E16" s="121"/>
      <c r="F16" s="166"/>
    </row>
    <row r="17" spans="1:6" x14ac:dyDescent="0.25">
      <c r="A17" s="121" t="s">
        <v>355</v>
      </c>
      <c r="B17" s="121"/>
      <c r="C17" s="121"/>
      <c r="D17" s="166"/>
      <c r="E17" s="121"/>
      <c r="F17" s="166"/>
    </row>
    <row r="18" spans="1:6" x14ac:dyDescent="0.25">
      <c r="A18" s="121"/>
      <c r="B18" s="121"/>
      <c r="C18" s="121"/>
      <c r="D18" s="166"/>
      <c r="E18" s="121"/>
      <c r="F18" s="166"/>
    </row>
    <row r="19" spans="1:6" x14ac:dyDescent="0.25">
      <c r="A19" s="121" t="s">
        <v>356</v>
      </c>
      <c r="B19" s="121"/>
      <c r="C19" s="121"/>
      <c r="D19" s="166"/>
      <c r="E19" s="121"/>
      <c r="F19" s="166"/>
    </row>
    <row r="20" spans="1:6" x14ac:dyDescent="0.25">
      <c r="A20" s="67" t="s">
        <v>357</v>
      </c>
      <c r="B20" s="121"/>
      <c r="D20" s="122">
        <v>12000</v>
      </c>
      <c r="E20" s="121"/>
      <c r="F20" s="166"/>
    </row>
    <row r="21" spans="1:6" x14ac:dyDescent="0.25">
      <c r="A21" s="67" t="s">
        <v>358</v>
      </c>
      <c r="B21" s="67"/>
      <c r="D21" s="170">
        <v>1800</v>
      </c>
      <c r="E21" s="121"/>
      <c r="F21" s="166"/>
    </row>
    <row r="22" spans="1:6" x14ac:dyDescent="0.25">
      <c r="A22" s="67" t="s">
        <v>359</v>
      </c>
      <c r="B22" s="67"/>
      <c r="D22" s="170">
        <v>600</v>
      </c>
      <c r="E22" s="121"/>
      <c r="F22" s="166"/>
    </row>
    <row r="23" spans="1:6" x14ac:dyDescent="0.25">
      <c r="A23" s="121"/>
      <c r="B23" s="121"/>
      <c r="C23" s="121"/>
      <c r="D23" s="166"/>
      <c r="E23" s="121"/>
      <c r="F23" s="166"/>
    </row>
    <row r="24" spans="1:6" x14ac:dyDescent="0.25">
      <c r="A24" s="121" t="s">
        <v>360</v>
      </c>
      <c r="B24" s="121"/>
      <c r="C24" s="121"/>
      <c r="D24" s="166"/>
      <c r="E24" s="121"/>
      <c r="F24" s="166"/>
    </row>
    <row r="25" spans="1:6" x14ac:dyDescent="0.25">
      <c r="A25" s="67" t="s">
        <v>361</v>
      </c>
      <c r="B25" s="67"/>
      <c r="C25" s="67"/>
      <c r="D25" s="170">
        <v>6250</v>
      </c>
      <c r="E25" s="121"/>
      <c r="F25" s="166"/>
    </row>
    <row r="26" spans="1:6" x14ac:dyDescent="0.25">
      <c r="A26" s="67" t="s">
        <v>362</v>
      </c>
      <c r="B26" s="67"/>
      <c r="C26" s="67"/>
      <c r="D26" s="170">
        <v>937.5</v>
      </c>
      <c r="E26" s="121"/>
      <c r="F26" s="166"/>
    </row>
    <row r="27" spans="1:6" x14ac:dyDescent="0.25">
      <c r="A27" s="67" t="s">
        <v>363</v>
      </c>
      <c r="B27" s="67"/>
      <c r="C27" s="67"/>
      <c r="D27" s="170">
        <v>312.5</v>
      </c>
      <c r="E27" s="121"/>
      <c r="F27" s="166"/>
    </row>
    <row r="28" spans="1:6" x14ac:dyDescent="0.25">
      <c r="A28" s="67"/>
      <c r="B28" s="67"/>
      <c r="C28" s="67"/>
      <c r="D28" s="170"/>
      <c r="E28" s="121"/>
      <c r="F28" s="166"/>
    </row>
    <row r="29" spans="1:6" x14ac:dyDescent="0.25">
      <c r="A29" s="121" t="s">
        <v>364</v>
      </c>
      <c r="B29" s="67"/>
      <c r="C29" s="67"/>
      <c r="D29" s="170"/>
      <c r="E29" s="121"/>
      <c r="F29" s="166"/>
    </row>
    <row r="30" spans="1:6" x14ac:dyDescent="0.25">
      <c r="A30" s="67" t="s">
        <v>365</v>
      </c>
      <c r="B30" s="67"/>
      <c r="C30" s="67"/>
      <c r="D30" s="170"/>
      <c r="E30" s="121"/>
      <c r="F30" s="166"/>
    </row>
    <row r="31" spans="1:6" x14ac:dyDescent="0.25">
      <c r="A31" s="67" t="s">
        <v>366</v>
      </c>
      <c r="B31" s="67"/>
      <c r="C31" s="67"/>
      <c r="D31" s="170">
        <v>380</v>
      </c>
      <c r="E31" s="121"/>
      <c r="F31" s="166"/>
    </row>
    <row r="32" spans="1:6" x14ac:dyDescent="0.25">
      <c r="A32" s="67" t="s">
        <v>367</v>
      </c>
      <c r="B32" s="67"/>
      <c r="C32" s="67"/>
      <c r="D32" s="170">
        <v>200</v>
      </c>
      <c r="E32" s="121"/>
      <c r="F32" s="166"/>
    </row>
    <row r="33" spans="1:8" x14ac:dyDescent="0.25">
      <c r="A33" s="67" t="s">
        <v>368</v>
      </c>
      <c r="B33" s="67"/>
      <c r="C33" s="67"/>
      <c r="D33" s="170">
        <v>350</v>
      </c>
      <c r="E33" s="121"/>
      <c r="F33" s="166"/>
    </row>
    <row r="34" spans="1:8" x14ac:dyDescent="0.25">
      <c r="A34" s="67" t="s">
        <v>369</v>
      </c>
      <c r="B34" s="67"/>
      <c r="C34" s="67"/>
      <c r="D34" s="170">
        <v>1000</v>
      </c>
      <c r="E34" s="121"/>
      <c r="F34" s="166"/>
    </row>
    <row r="35" spans="1:8" x14ac:dyDescent="0.25">
      <c r="A35" s="67" t="s">
        <v>370</v>
      </c>
      <c r="B35" s="67"/>
      <c r="C35" s="67"/>
      <c r="D35" s="170">
        <v>270</v>
      </c>
      <c r="E35" s="121"/>
      <c r="F35" s="166"/>
    </row>
    <row r="36" spans="1:8" x14ac:dyDescent="0.25">
      <c r="A36" s="67"/>
      <c r="B36" s="67"/>
      <c r="C36" s="67"/>
      <c r="D36" s="170"/>
      <c r="E36" s="121"/>
      <c r="F36" s="166"/>
    </row>
    <row r="37" spans="1:8" x14ac:dyDescent="0.25">
      <c r="A37" s="121" t="s">
        <v>371</v>
      </c>
      <c r="B37" s="67"/>
      <c r="C37" s="67"/>
      <c r="D37" s="170"/>
      <c r="E37" s="121"/>
      <c r="F37" s="166"/>
    </row>
    <row r="38" spans="1:8" x14ac:dyDescent="0.25">
      <c r="A38" s="67" t="s">
        <v>372</v>
      </c>
      <c r="B38" s="67"/>
      <c r="C38" s="67"/>
      <c r="D38" s="170">
        <v>150</v>
      </c>
      <c r="E38" s="121"/>
      <c r="F38" s="166"/>
    </row>
    <row r="39" spans="1:8" x14ac:dyDescent="0.25">
      <c r="A39" s="67" t="s">
        <v>373</v>
      </c>
      <c r="B39" s="67"/>
      <c r="C39" s="67"/>
      <c r="D39" s="170">
        <v>650</v>
      </c>
      <c r="E39" s="121"/>
      <c r="F39" s="166"/>
    </row>
    <row r="40" spans="1:8" x14ac:dyDescent="0.25">
      <c r="A40" s="67"/>
      <c r="B40" s="67"/>
      <c r="C40" s="67"/>
      <c r="D40" s="170"/>
      <c r="E40" s="121"/>
      <c r="F40" s="166"/>
    </row>
    <row r="41" spans="1:8" x14ac:dyDescent="0.25">
      <c r="A41" s="121" t="s">
        <v>374</v>
      </c>
      <c r="B41" s="67"/>
      <c r="C41" s="67"/>
      <c r="D41" s="170"/>
      <c r="E41" s="121"/>
      <c r="F41" s="166"/>
    </row>
    <row r="42" spans="1:8" x14ac:dyDescent="0.25">
      <c r="A42" s="67" t="s">
        <v>375</v>
      </c>
      <c r="B42" s="67"/>
      <c r="C42" s="67"/>
      <c r="D42" s="170"/>
      <c r="E42" s="170">
        <v>750</v>
      </c>
      <c r="F42" s="166"/>
    </row>
    <row r="43" spans="1:8" x14ac:dyDescent="0.25">
      <c r="A43" s="121"/>
      <c r="B43" s="67"/>
      <c r="C43" s="67"/>
      <c r="D43" s="170"/>
      <c r="E43" s="121"/>
      <c r="F43" s="166"/>
    </row>
    <row r="44" spans="1:8" x14ac:dyDescent="0.25">
      <c r="A44" s="181"/>
      <c r="B44" s="182"/>
      <c r="C44" s="182"/>
      <c r="D44" s="183"/>
      <c r="E44" s="121"/>
      <c r="F44" s="166"/>
    </row>
    <row r="45" spans="1:8" x14ac:dyDescent="0.25">
      <c r="A45" s="206" t="s">
        <v>376</v>
      </c>
      <c r="B45" s="207"/>
      <c r="C45" s="207"/>
      <c r="D45" s="207"/>
      <c r="E45" s="207"/>
      <c r="F45" s="208"/>
      <c r="G45" s="67"/>
      <c r="H45" s="67"/>
    </row>
    <row r="46" spans="1:8" x14ac:dyDescent="0.25">
      <c r="A46" s="184" t="s">
        <v>377</v>
      </c>
      <c r="B46" s="116"/>
      <c r="C46" s="116"/>
      <c r="D46" s="116"/>
      <c r="E46" s="116"/>
      <c r="F46" s="163">
        <f>F47-F48-F49</f>
        <v>11500</v>
      </c>
      <c r="G46" s="67"/>
      <c r="H46" s="67"/>
    </row>
    <row r="47" spans="1:8" x14ac:dyDescent="0.25">
      <c r="A47" s="185" t="s">
        <v>378</v>
      </c>
      <c r="B47" s="116"/>
      <c r="C47" s="116"/>
      <c r="D47" s="116"/>
      <c r="E47" s="116"/>
      <c r="F47" s="128">
        <f>D20</f>
        <v>12000</v>
      </c>
      <c r="G47" s="67"/>
      <c r="H47" s="67"/>
    </row>
    <row r="48" spans="1:8" x14ac:dyDescent="0.25">
      <c r="A48" s="185" t="s">
        <v>379</v>
      </c>
      <c r="B48" s="116"/>
      <c r="C48" s="116"/>
      <c r="D48" s="116"/>
      <c r="E48" s="116"/>
      <c r="F48" s="128">
        <f>D9</f>
        <v>300</v>
      </c>
      <c r="G48" s="67"/>
      <c r="H48" s="67"/>
    </row>
    <row r="49" spans="1:8" x14ac:dyDescent="0.25">
      <c r="A49" s="185" t="s">
        <v>380</v>
      </c>
      <c r="B49" s="116"/>
      <c r="C49" s="116"/>
      <c r="D49" s="116"/>
      <c r="E49" s="116"/>
      <c r="F49" s="128">
        <f>D32</f>
        <v>200</v>
      </c>
      <c r="G49" s="67"/>
      <c r="H49" s="67"/>
    </row>
    <row r="50" spans="1:8" x14ac:dyDescent="0.25">
      <c r="A50" s="184" t="s">
        <v>381</v>
      </c>
      <c r="B50" s="116"/>
      <c r="C50" s="116"/>
      <c r="D50" s="116"/>
      <c r="E50" s="116"/>
      <c r="F50" s="163">
        <f>SUM(F51:F53)</f>
        <v>6780</v>
      </c>
      <c r="G50" s="67"/>
      <c r="H50" s="67"/>
    </row>
    <row r="51" spans="1:8" x14ac:dyDescent="0.25">
      <c r="A51" s="185" t="s">
        <v>382</v>
      </c>
      <c r="B51" s="116"/>
      <c r="C51" s="116"/>
      <c r="D51" s="116"/>
      <c r="E51" s="116"/>
      <c r="F51" s="133">
        <f>D25</f>
        <v>6250</v>
      </c>
      <c r="G51" s="67"/>
      <c r="H51" s="67"/>
    </row>
    <row r="52" spans="1:8" x14ac:dyDescent="0.25">
      <c r="A52" s="185" t="s">
        <v>383</v>
      </c>
      <c r="B52" s="116"/>
      <c r="C52" s="116"/>
      <c r="D52" s="116"/>
      <c r="E52" s="116"/>
      <c r="F52" s="128">
        <f>D31</f>
        <v>380</v>
      </c>
      <c r="G52" s="67"/>
      <c r="H52" s="67"/>
    </row>
    <row r="53" spans="1:8" x14ac:dyDescent="0.25">
      <c r="A53" s="185" t="s">
        <v>384</v>
      </c>
      <c r="B53" s="116"/>
      <c r="C53" s="116"/>
      <c r="D53" s="116"/>
      <c r="E53" s="116"/>
      <c r="F53" s="128">
        <f>D10</f>
        <v>150</v>
      </c>
      <c r="G53" s="67"/>
      <c r="H53" s="67"/>
    </row>
    <row r="54" spans="1:8" x14ac:dyDescent="0.25">
      <c r="A54" s="184" t="s">
        <v>385</v>
      </c>
      <c r="B54" s="116"/>
      <c r="C54" s="116"/>
      <c r="D54" s="116"/>
      <c r="E54" s="116"/>
      <c r="F54" s="163">
        <f>F46-F50</f>
        <v>4720</v>
      </c>
      <c r="G54" s="67"/>
      <c r="H54" s="67"/>
    </row>
    <row r="55" spans="1:8" x14ac:dyDescent="0.25">
      <c r="A55" s="184" t="s">
        <v>386</v>
      </c>
      <c r="B55" s="116"/>
      <c r="C55" s="116"/>
      <c r="D55" s="116"/>
      <c r="E55" s="116"/>
      <c r="F55" s="128">
        <f>D33</f>
        <v>350</v>
      </c>
      <c r="G55" s="67"/>
      <c r="H55" s="67"/>
    </row>
    <row r="56" spans="1:8" x14ac:dyDescent="0.25">
      <c r="A56" s="184" t="s">
        <v>387</v>
      </c>
      <c r="B56" s="116"/>
      <c r="C56" s="116"/>
      <c r="D56" s="116"/>
      <c r="E56" s="116"/>
      <c r="F56" s="163">
        <f>F54-F55</f>
        <v>4370</v>
      </c>
      <c r="G56" s="67"/>
      <c r="H56" s="67"/>
    </row>
    <row r="57" spans="1:8" x14ac:dyDescent="0.25">
      <c r="A57" s="184" t="s">
        <v>388</v>
      </c>
      <c r="B57" s="116"/>
      <c r="C57" s="116"/>
      <c r="D57" s="116"/>
      <c r="E57" s="116"/>
      <c r="F57" s="163">
        <f>SUM(F58:F60)</f>
        <v>550</v>
      </c>
      <c r="G57" s="67"/>
      <c r="H57" s="67"/>
    </row>
    <row r="58" spans="1:8" x14ac:dyDescent="0.25">
      <c r="A58" s="185" t="s">
        <v>389</v>
      </c>
      <c r="B58" s="116"/>
      <c r="C58" s="116"/>
      <c r="D58" s="116"/>
      <c r="E58" s="116"/>
      <c r="F58" s="128">
        <f>D7</f>
        <v>300</v>
      </c>
      <c r="G58" s="67"/>
      <c r="H58" s="67"/>
    </row>
    <row r="59" spans="1:8" x14ac:dyDescent="0.25">
      <c r="A59" s="185" t="s">
        <v>390</v>
      </c>
      <c r="B59" s="116"/>
      <c r="C59" s="116"/>
      <c r="D59" s="116"/>
      <c r="E59" s="116"/>
      <c r="F59" s="128">
        <f>D38</f>
        <v>150</v>
      </c>
      <c r="G59" s="67"/>
      <c r="H59" s="67"/>
    </row>
    <row r="60" spans="1:8" x14ac:dyDescent="0.25">
      <c r="A60" s="185" t="s">
        <v>391</v>
      </c>
      <c r="B60" s="116"/>
      <c r="C60" s="116"/>
      <c r="D60" s="116"/>
      <c r="E60" s="116"/>
      <c r="F60" s="128">
        <f>D8</f>
        <v>100</v>
      </c>
      <c r="G60" s="67"/>
      <c r="H60" s="67"/>
    </row>
    <row r="61" spans="1:8" x14ac:dyDescent="0.25">
      <c r="A61" s="186" t="s">
        <v>392</v>
      </c>
      <c r="B61" s="187"/>
      <c r="C61" s="187"/>
      <c r="D61" s="187"/>
      <c r="E61" s="187"/>
      <c r="F61" s="163">
        <f>F56+F57</f>
        <v>4920</v>
      </c>
      <c r="G61" s="67"/>
      <c r="H61" s="67"/>
    </row>
    <row r="62" spans="1:8" x14ac:dyDescent="0.25">
      <c r="A62" s="184" t="s">
        <v>393</v>
      </c>
      <c r="B62" s="116"/>
      <c r="C62" s="116"/>
      <c r="D62" s="116"/>
      <c r="E62" s="116"/>
      <c r="F62" s="163">
        <f>SUM(F64:F80)</f>
        <v>4920</v>
      </c>
      <c r="G62" s="67"/>
      <c r="H62" s="67"/>
    </row>
    <row r="63" spans="1:8" x14ac:dyDescent="0.25">
      <c r="A63" s="188" t="s">
        <v>394</v>
      </c>
      <c r="B63" s="116"/>
      <c r="C63" s="116"/>
      <c r="D63" s="116"/>
      <c r="E63" s="116"/>
      <c r="F63" s="129"/>
      <c r="G63" s="67"/>
      <c r="H63" s="67"/>
    </row>
    <row r="64" spans="1:8" x14ac:dyDescent="0.25">
      <c r="A64" s="185" t="s">
        <v>395</v>
      </c>
      <c r="B64" s="116"/>
      <c r="C64" s="116"/>
      <c r="D64" s="116"/>
      <c r="E64" s="116"/>
      <c r="F64" s="128">
        <f>D34</f>
        <v>1000</v>
      </c>
      <c r="G64" s="67"/>
      <c r="H64" s="67"/>
    </row>
    <row r="65" spans="1:8" x14ac:dyDescent="0.25">
      <c r="A65" s="188" t="s">
        <v>396</v>
      </c>
      <c r="B65" s="116"/>
      <c r="C65" s="116"/>
      <c r="D65" s="116"/>
      <c r="E65" s="116"/>
      <c r="F65" s="129"/>
      <c r="G65" s="67"/>
      <c r="H65" s="67"/>
    </row>
    <row r="66" spans="1:8" x14ac:dyDescent="0.25">
      <c r="A66" s="184" t="s">
        <v>397</v>
      </c>
      <c r="B66" s="116"/>
      <c r="C66" s="116"/>
      <c r="D66" s="116"/>
      <c r="E66" s="116"/>
      <c r="F66" s="129"/>
      <c r="G66" s="67"/>
      <c r="H66" s="67"/>
    </row>
    <row r="67" spans="1:8" x14ac:dyDescent="0.25">
      <c r="A67" s="184" t="s">
        <v>398</v>
      </c>
      <c r="B67" s="116"/>
      <c r="C67" s="116"/>
      <c r="D67" s="116"/>
      <c r="E67" s="116"/>
      <c r="F67" s="128">
        <f>D14</f>
        <v>600</v>
      </c>
      <c r="G67" s="67"/>
      <c r="H67" s="67"/>
    </row>
    <row r="68" spans="1:8" x14ac:dyDescent="0.25">
      <c r="A68" s="184" t="s">
        <v>399</v>
      </c>
      <c r="B68" s="116"/>
      <c r="C68" s="116"/>
      <c r="D68" s="116"/>
      <c r="E68" s="116"/>
      <c r="F68" s="128">
        <f>D35</f>
        <v>270</v>
      </c>
      <c r="G68" s="67"/>
      <c r="H68" s="67"/>
    </row>
    <row r="69" spans="1:8" x14ac:dyDescent="0.25">
      <c r="A69" s="184" t="s">
        <v>400</v>
      </c>
      <c r="B69" s="116"/>
      <c r="C69" s="116"/>
      <c r="D69" s="116"/>
      <c r="E69" s="116"/>
      <c r="F69" s="128">
        <f>D22-D27</f>
        <v>287.5</v>
      </c>
      <c r="G69" s="167"/>
      <c r="H69" s="67"/>
    </row>
    <row r="70" spans="1:8" x14ac:dyDescent="0.25">
      <c r="A70" s="184" t="s">
        <v>401</v>
      </c>
      <c r="B70" s="116"/>
      <c r="C70" s="116"/>
      <c r="D70" s="116"/>
      <c r="E70" s="116"/>
      <c r="F70" s="129"/>
      <c r="H70" s="167"/>
    </row>
    <row r="71" spans="1:8" x14ac:dyDescent="0.25">
      <c r="A71" s="184" t="s">
        <v>402</v>
      </c>
      <c r="B71" s="116"/>
      <c r="C71" s="116"/>
      <c r="D71" s="116"/>
      <c r="E71" s="116"/>
      <c r="F71" s="128">
        <f>D21-D26</f>
        <v>862.5</v>
      </c>
      <c r="H71" s="167"/>
    </row>
    <row r="72" spans="1:8" x14ac:dyDescent="0.25">
      <c r="A72" s="184" t="s">
        <v>403</v>
      </c>
      <c r="B72" s="116"/>
      <c r="C72" s="116"/>
      <c r="D72" s="116"/>
      <c r="E72" s="116"/>
      <c r="F72" s="129"/>
      <c r="G72" s="67"/>
      <c r="H72" s="167"/>
    </row>
    <row r="73" spans="1:8" x14ac:dyDescent="0.25">
      <c r="A73" s="184" t="s">
        <v>404</v>
      </c>
      <c r="B73" s="116"/>
      <c r="C73" s="116"/>
      <c r="D73" s="116"/>
      <c r="E73" s="116"/>
      <c r="F73" s="129"/>
      <c r="G73" s="67"/>
      <c r="H73" s="189"/>
    </row>
    <row r="74" spans="1:8" x14ac:dyDescent="0.25">
      <c r="A74" s="185" t="s">
        <v>405</v>
      </c>
      <c r="B74" s="116"/>
      <c r="C74" s="116"/>
      <c r="D74" s="116"/>
      <c r="E74" s="116"/>
      <c r="F74" s="128">
        <f>D39</f>
        <v>650</v>
      </c>
      <c r="G74" s="67"/>
      <c r="H74" s="167"/>
    </row>
    <row r="75" spans="1:8" x14ac:dyDescent="0.25">
      <c r="A75" s="185" t="s">
        <v>406</v>
      </c>
      <c r="B75" s="116"/>
      <c r="C75" s="116"/>
      <c r="D75" s="116"/>
      <c r="E75" s="116"/>
      <c r="F75" s="129"/>
      <c r="G75" s="67"/>
      <c r="H75" s="67"/>
    </row>
    <row r="76" spans="1:8" x14ac:dyDescent="0.25">
      <c r="A76" s="185" t="s">
        <v>407</v>
      </c>
      <c r="B76" s="116"/>
      <c r="C76" s="116"/>
      <c r="D76" s="116"/>
      <c r="E76" s="116"/>
      <c r="F76" s="129"/>
      <c r="G76" s="67"/>
      <c r="H76" s="67"/>
    </row>
    <row r="77" spans="1:8" x14ac:dyDescent="0.25">
      <c r="A77" s="188" t="s">
        <v>408</v>
      </c>
      <c r="B77" s="116"/>
      <c r="C77" s="116"/>
      <c r="D77" s="116"/>
      <c r="E77" s="116"/>
      <c r="F77" s="129"/>
      <c r="G77" s="67"/>
      <c r="H77" s="67"/>
    </row>
    <row r="78" spans="1:8" x14ac:dyDescent="0.25">
      <c r="A78" s="185" t="s">
        <v>409</v>
      </c>
      <c r="B78" s="116"/>
      <c r="C78" s="116"/>
      <c r="D78" s="116"/>
      <c r="E78" s="116"/>
      <c r="F78" s="129"/>
      <c r="G78" s="67"/>
      <c r="H78" s="67"/>
    </row>
    <row r="79" spans="1:8" x14ac:dyDescent="0.25">
      <c r="A79" s="185" t="s">
        <v>410</v>
      </c>
      <c r="B79" s="116"/>
      <c r="C79" s="116"/>
      <c r="D79" s="116"/>
      <c r="E79" s="116"/>
      <c r="F79" s="128">
        <f>E42</f>
        <v>750</v>
      </c>
      <c r="G79" s="67"/>
      <c r="H79" s="67"/>
    </row>
    <row r="80" spans="1:8" x14ac:dyDescent="0.25">
      <c r="A80" s="185" t="s">
        <v>411</v>
      </c>
      <c r="B80" s="116"/>
      <c r="C80" s="116"/>
      <c r="D80" s="116"/>
      <c r="E80" s="116"/>
      <c r="F80" s="128">
        <f>D15-F79</f>
        <v>500</v>
      </c>
      <c r="G80" s="67"/>
      <c r="H80" s="67"/>
    </row>
    <row r="81" spans="1:8" x14ac:dyDescent="0.25">
      <c r="A81" s="185" t="s">
        <v>412</v>
      </c>
      <c r="B81" s="116"/>
      <c r="C81" s="116"/>
      <c r="D81" s="116"/>
      <c r="E81" s="116"/>
      <c r="F81" s="129"/>
      <c r="G81" s="67"/>
      <c r="H81" s="67"/>
    </row>
    <row r="82" spans="1:8" x14ac:dyDescent="0.25">
      <c r="A82" s="50" t="s">
        <v>413</v>
      </c>
      <c r="B82" s="50"/>
      <c r="C82" s="50"/>
      <c r="D82" s="50"/>
    </row>
  </sheetData>
  <mergeCells count="3">
    <mergeCell ref="A2:D2"/>
    <mergeCell ref="E2:F2"/>
    <mergeCell ref="A45:F4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5.75" x14ac:dyDescent="0.25"/>
  <cols>
    <col min="1" max="1" width="11.85546875" style="1" customWidth="1"/>
    <col min="2" max="2" width="14" style="1" bestFit="1" customWidth="1"/>
    <col min="3" max="3" width="12.140625" style="1" bestFit="1" customWidth="1"/>
    <col min="4" max="4" width="13.85546875" style="1" customWidth="1"/>
    <col min="5" max="5" width="19.5703125" style="1" customWidth="1"/>
    <col min="6" max="7" width="12.140625" style="1" customWidth="1"/>
    <col min="8" max="16384" width="9.140625" style="1"/>
  </cols>
  <sheetData>
    <row r="1" spans="1:5" x14ac:dyDescent="0.25">
      <c r="A1" s="2" t="s">
        <v>415</v>
      </c>
    </row>
    <row r="2" spans="1:5" x14ac:dyDescent="0.25">
      <c r="A2" s="2" t="s">
        <v>6</v>
      </c>
    </row>
    <row r="3" spans="1:5" x14ac:dyDescent="0.25">
      <c r="A3" s="1" t="s">
        <v>14</v>
      </c>
    </row>
    <row r="4" spans="1:5" x14ac:dyDescent="0.25">
      <c r="A4" s="1" t="s">
        <v>7</v>
      </c>
      <c r="C4" s="7"/>
      <c r="D4" s="7"/>
    </row>
    <row r="5" spans="1:5" ht="16.5" thickBot="1" x14ac:dyDescent="0.3"/>
    <row r="6" spans="1:5" x14ac:dyDescent="0.25">
      <c r="A6" s="191" t="s">
        <v>8</v>
      </c>
      <c r="B6" s="16" t="s">
        <v>12</v>
      </c>
      <c r="C6" s="16" t="s">
        <v>15</v>
      </c>
      <c r="D6" s="17" t="s">
        <v>23</v>
      </c>
      <c r="E6" s="17" t="s">
        <v>22</v>
      </c>
    </row>
    <row r="7" spans="1:5" x14ac:dyDescent="0.25">
      <c r="A7" s="192"/>
      <c r="B7" s="18" t="s">
        <v>13</v>
      </c>
      <c r="C7" s="18" t="s">
        <v>16</v>
      </c>
      <c r="D7" s="18" t="s">
        <v>17</v>
      </c>
      <c r="E7" s="18" t="s">
        <v>18</v>
      </c>
    </row>
    <row r="8" spans="1:5" x14ac:dyDescent="0.25">
      <c r="A8" s="11" t="s">
        <v>9</v>
      </c>
      <c r="B8" s="12">
        <v>420</v>
      </c>
      <c r="C8" s="12">
        <v>500</v>
      </c>
      <c r="D8" s="12">
        <v>100</v>
      </c>
      <c r="E8" s="20">
        <f>C8-D8</f>
        <v>400</v>
      </c>
    </row>
    <row r="9" spans="1:5" x14ac:dyDescent="0.25">
      <c r="A9" s="11" t="s">
        <v>10</v>
      </c>
      <c r="B9" s="12">
        <v>650</v>
      </c>
      <c r="C9" s="12">
        <v>900</v>
      </c>
      <c r="D9" s="12">
        <v>130</v>
      </c>
      <c r="E9" s="20">
        <f t="shared" ref="E9:E10" si="0">C9-D9</f>
        <v>770</v>
      </c>
    </row>
    <row r="10" spans="1:5" ht="16.5" thickBot="1" x14ac:dyDescent="0.3">
      <c r="A10" s="14" t="s">
        <v>11</v>
      </c>
      <c r="B10" s="15">
        <v>900</v>
      </c>
      <c r="C10" s="15">
        <v>850</v>
      </c>
      <c r="D10" s="15">
        <v>170</v>
      </c>
      <c r="E10" s="21">
        <f t="shared" si="0"/>
        <v>680</v>
      </c>
    </row>
    <row r="13" spans="1:5" x14ac:dyDescent="0.25">
      <c r="A13" s="1" t="s">
        <v>19</v>
      </c>
      <c r="D13" s="23">
        <f>B8-E8</f>
        <v>20</v>
      </c>
      <c r="E13" s="1" t="s">
        <v>20</v>
      </c>
    </row>
    <row r="14" spans="1:5" x14ac:dyDescent="0.25">
      <c r="A14" s="1" t="s">
        <v>21</v>
      </c>
    </row>
    <row r="15" spans="1:5" x14ac:dyDescent="0.25">
      <c r="A15" s="1" t="s">
        <v>24</v>
      </c>
      <c r="D15" s="23">
        <f>B10-E10</f>
        <v>220</v>
      </c>
      <c r="E15" s="1" t="s">
        <v>20</v>
      </c>
    </row>
    <row r="17" spans="1:10" x14ac:dyDescent="0.25">
      <c r="A17" s="194" t="s">
        <v>25</v>
      </c>
      <c r="B17" s="194"/>
      <c r="C17" s="194"/>
      <c r="D17" s="194"/>
      <c r="E17" s="194"/>
      <c r="F17" s="194"/>
      <c r="G17" s="194"/>
    </row>
    <row r="18" spans="1:10" x14ac:dyDescent="0.25">
      <c r="F18" s="193" t="s">
        <v>31</v>
      </c>
      <c r="G18" s="193"/>
    </row>
    <row r="19" spans="1:10" ht="16.5" thickBot="1" x14ac:dyDescent="0.3">
      <c r="A19" s="190" t="s">
        <v>26</v>
      </c>
      <c r="B19" s="190"/>
      <c r="F19" s="190" t="s">
        <v>27</v>
      </c>
      <c r="G19" s="190"/>
    </row>
    <row r="20" spans="1:10" x14ac:dyDescent="0.25">
      <c r="A20" s="27">
        <f>B8</f>
        <v>420</v>
      </c>
      <c r="B20" s="10"/>
      <c r="F20" s="27">
        <f>D13</f>
        <v>20</v>
      </c>
      <c r="G20" s="10"/>
    </row>
    <row r="21" spans="1:10" x14ac:dyDescent="0.25">
      <c r="A21" s="24"/>
      <c r="B21" s="13"/>
      <c r="F21" s="30">
        <f>D15</f>
        <v>220</v>
      </c>
      <c r="G21" s="13"/>
    </row>
    <row r="22" spans="1:10" x14ac:dyDescent="0.25">
      <c r="A22" s="8"/>
      <c r="B22" s="8"/>
      <c r="F22" s="31">
        <f>SUM(F20:F21)</f>
        <v>240</v>
      </c>
      <c r="G22" s="8"/>
    </row>
    <row r="23" spans="1:10" x14ac:dyDescent="0.25">
      <c r="A23" s="8"/>
      <c r="B23" s="8"/>
    </row>
    <row r="24" spans="1:10" x14ac:dyDescent="0.25">
      <c r="F24" s="1" t="s">
        <v>29</v>
      </c>
    </row>
    <row r="25" spans="1:10" ht="16.5" thickBot="1" x14ac:dyDescent="0.3">
      <c r="A25" s="190" t="s">
        <v>30</v>
      </c>
      <c r="B25" s="190"/>
      <c r="F25" s="26" t="s">
        <v>27</v>
      </c>
      <c r="J25" s="1" t="s">
        <v>28</v>
      </c>
    </row>
    <row r="26" spans="1:10" x14ac:dyDescent="0.25">
      <c r="A26" s="27">
        <f>B9</f>
        <v>650</v>
      </c>
      <c r="B26" s="10"/>
      <c r="F26" s="9"/>
      <c r="G26" s="28">
        <f>D13</f>
        <v>20</v>
      </c>
    </row>
    <row r="27" spans="1:10" x14ac:dyDescent="0.25">
      <c r="A27" s="24"/>
      <c r="B27" s="13"/>
      <c r="F27" s="24"/>
      <c r="G27" s="19">
        <f>F21</f>
        <v>220</v>
      </c>
    </row>
    <row r="28" spans="1:10" x14ac:dyDescent="0.25">
      <c r="F28" s="24"/>
      <c r="G28" s="23">
        <f>SUM(G26:G27)</f>
        <v>240</v>
      </c>
    </row>
    <row r="29" spans="1:10" ht="16.5" thickBot="1" x14ac:dyDescent="0.3">
      <c r="A29" s="190" t="s">
        <v>30</v>
      </c>
      <c r="B29" s="190"/>
    </row>
    <row r="30" spans="1:10" x14ac:dyDescent="0.25">
      <c r="A30" s="27">
        <f>B10</f>
        <v>900</v>
      </c>
      <c r="B30" s="10"/>
    </row>
    <row r="31" spans="1:10" x14ac:dyDescent="0.25">
      <c r="A31" s="24"/>
      <c r="B31" s="13"/>
    </row>
    <row r="33" spans="1:5" x14ac:dyDescent="0.25">
      <c r="A33" s="1" t="s">
        <v>32</v>
      </c>
    </row>
    <row r="34" spans="1:5" x14ac:dyDescent="0.25">
      <c r="A34" s="1" t="s">
        <v>33</v>
      </c>
    </row>
    <row r="35" spans="1:5" x14ac:dyDescent="0.25">
      <c r="A35" s="1" t="s">
        <v>34</v>
      </c>
    </row>
    <row r="36" spans="1:5" x14ac:dyDescent="0.25">
      <c r="A36" s="1" t="s">
        <v>35</v>
      </c>
      <c r="B36" s="22">
        <f>A20+A26+A30</f>
        <v>1970</v>
      </c>
    </row>
    <row r="37" spans="1:5" x14ac:dyDescent="0.25">
      <c r="A37" s="1" t="s">
        <v>36</v>
      </c>
      <c r="E37" s="22">
        <f>G28</f>
        <v>240</v>
      </c>
    </row>
    <row r="38" spans="1:5" x14ac:dyDescent="0.25">
      <c r="A38" s="1" t="s">
        <v>37</v>
      </c>
      <c r="E38" s="29">
        <f>B36-E37</f>
        <v>1730</v>
      </c>
    </row>
    <row r="39" spans="1:5" x14ac:dyDescent="0.25">
      <c r="A39" s="4" t="s">
        <v>38</v>
      </c>
    </row>
  </sheetData>
  <mergeCells count="7">
    <mergeCell ref="A29:B29"/>
    <mergeCell ref="A6:A7"/>
    <mergeCell ref="A19:B19"/>
    <mergeCell ref="F19:G19"/>
    <mergeCell ref="F18:G18"/>
    <mergeCell ref="A17:G17"/>
    <mergeCell ref="A25:B2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zoomScale="130" zoomScaleNormal="130" workbookViewId="0"/>
  </sheetViews>
  <sheetFormatPr defaultRowHeight="15.75" x14ac:dyDescent="0.25"/>
  <cols>
    <col min="1" max="1" width="9.140625" style="1"/>
    <col min="2" max="2" width="16.7109375" style="1" customWidth="1"/>
    <col min="3" max="3" width="16.7109375" style="1" bestFit="1" customWidth="1"/>
    <col min="4" max="4" width="18" style="1" bestFit="1" customWidth="1"/>
    <col min="5" max="5" width="16.7109375" style="1" bestFit="1" customWidth="1"/>
    <col min="6" max="6" width="15.5703125" style="1" bestFit="1" customWidth="1"/>
    <col min="7" max="7" width="5.5703125" style="1" customWidth="1"/>
    <col min="8" max="8" width="12.28515625" style="1" customWidth="1"/>
    <col min="9" max="9" width="12.42578125" style="1" bestFit="1" customWidth="1"/>
    <col min="10" max="16384" width="9.140625" style="1"/>
  </cols>
  <sheetData>
    <row r="1" spans="1:4" x14ac:dyDescent="0.25">
      <c r="A1" s="2" t="s">
        <v>416</v>
      </c>
    </row>
    <row r="2" spans="1:4" x14ac:dyDescent="0.25">
      <c r="A2" s="1" t="s">
        <v>39</v>
      </c>
      <c r="D2" s="32">
        <v>200000</v>
      </c>
    </row>
    <row r="3" spans="1:4" x14ac:dyDescent="0.25">
      <c r="A3" s="1" t="s">
        <v>40</v>
      </c>
      <c r="D3" s="32">
        <v>-50000</v>
      </c>
    </row>
    <row r="4" spans="1:4" x14ac:dyDescent="0.25">
      <c r="A4" s="1" t="s">
        <v>41</v>
      </c>
      <c r="D4" s="32">
        <f>SUM(D2:D3)</f>
        <v>150000</v>
      </c>
    </row>
    <row r="6" spans="1:4" x14ac:dyDescent="0.25">
      <c r="A6" s="1" t="s">
        <v>42</v>
      </c>
    </row>
    <row r="7" spans="1:4" x14ac:dyDescent="0.25">
      <c r="A7" s="1" t="s">
        <v>43</v>
      </c>
      <c r="D7" s="32">
        <f>130000-13500</f>
        <v>116500</v>
      </c>
    </row>
    <row r="8" spans="1:4" x14ac:dyDescent="0.25">
      <c r="A8" s="1" t="s">
        <v>44</v>
      </c>
      <c r="D8" s="36">
        <f>B17</f>
        <v>126776.19791238598</v>
      </c>
    </row>
    <row r="10" spans="1:4" x14ac:dyDescent="0.25">
      <c r="A10" s="194" t="s">
        <v>45</v>
      </c>
      <c r="B10" s="194"/>
      <c r="C10" s="194"/>
    </row>
    <row r="11" spans="1:4" x14ac:dyDescent="0.25">
      <c r="A11" s="25" t="s">
        <v>46</v>
      </c>
      <c r="B11" s="193" t="s">
        <v>47</v>
      </c>
      <c r="C11" s="193"/>
    </row>
    <row r="12" spans="1:4" x14ac:dyDescent="0.25">
      <c r="A12" s="25">
        <v>2016</v>
      </c>
      <c r="B12" s="32">
        <v>50700</v>
      </c>
    </row>
    <row r="13" spans="1:4" x14ac:dyDescent="0.25">
      <c r="A13" s="25">
        <v>2017</v>
      </c>
      <c r="B13" s="32">
        <v>42400</v>
      </c>
    </row>
    <row r="14" spans="1:4" x14ac:dyDescent="0.25">
      <c r="A14" s="25">
        <v>2018</v>
      </c>
      <c r="B14" s="32">
        <v>35000</v>
      </c>
    </row>
    <row r="15" spans="1:4" x14ac:dyDescent="0.25">
      <c r="A15" s="25">
        <v>2019</v>
      </c>
      <c r="B15" s="32">
        <v>28300</v>
      </c>
    </row>
    <row r="16" spans="1:4" x14ac:dyDescent="0.25">
      <c r="A16" s="25">
        <v>2020</v>
      </c>
      <c r="B16" s="32">
        <v>23000</v>
      </c>
    </row>
    <row r="17" spans="1:9" x14ac:dyDescent="0.25">
      <c r="A17" s="33" t="s">
        <v>48</v>
      </c>
      <c r="B17" s="37">
        <f>NPV(B18,B12:B16)</f>
        <v>126776.19791238598</v>
      </c>
    </row>
    <row r="18" spans="1:9" x14ac:dyDescent="0.25">
      <c r="A18" s="1" t="s">
        <v>49</v>
      </c>
      <c r="B18" s="34">
        <v>0.15</v>
      </c>
      <c r="C18" s="1" t="s">
        <v>50</v>
      </c>
    </row>
    <row r="20" spans="1:9" x14ac:dyDescent="0.25">
      <c r="A20" s="1" t="s">
        <v>51</v>
      </c>
      <c r="E20" s="194" t="s">
        <v>25</v>
      </c>
      <c r="F20" s="194"/>
      <c r="G20" s="194"/>
      <c r="H20" s="194"/>
      <c r="I20" s="194"/>
    </row>
    <row r="21" spans="1:9" x14ac:dyDescent="0.25">
      <c r="A21" s="1" t="s">
        <v>52</v>
      </c>
      <c r="H21" s="193" t="s">
        <v>59</v>
      </c>
      <c r="I21" s="193"/>
    </row>
    <row r="22" spans="1:9" ht="16.5" thickBot="1" x14ac:dyDescent="0.3">
      <c r="A22" s="1" t="s">
        <v>53</v>
      </c>
      <c r="C22" s="22">
        <f>D4</f>
        <v>150000</v>
      </c>
      <c r="E22" s="190" t="s">
        <v>56</v>
      </c>
      <c r="F22" s="190"/>
      <c r="H22" s="1" t="s">
        <v>58</v>
      </c>
    </row>
    <row r="23" spans="1:9" x14ac:dyDescent="0.25">
      <c r="A23" s="1" t="s">
        <v>54</v>
      </c>
      <c r="C23" s="35">
        <f>B17</f>
        <v>126776.19791238598</v>
      </c>
      <c r="E23" s="27">
        <f>D2</f>
        <v>200000</v>
      </c>
      <c r="F23" s="10"/>
      <c r="H23" s="40">
        <f>C24</f>
        <v>23223.802087614022</v>
      </c>
      <c r="I23" s="10"/>
    </row>
    <row r="24" spans="1:9" x14ac:dyDescent="0.25">
      <c r="A24" s="4" t="s">
        <v>55</v>
      </c>
      <c r="B24" s="4"/>
      <c r="C24" s="39">
        <f>C22-C23</f>
        <v>23223.802087614022</v>
      </c>
      <c r="E24" s="24"/>
      <c r="F24" s="13"/>
      <c r="H24" s="24"/>
      <c r="I24" s="13"/>
    </row>
    <row r="25" spans="1:9" x14ac:dyDescent="0.25">
      <c r="H25" s="193" t="s">
        <v>60</v>
      </c>
      <c r="I25" s="193"/>
    </row>
    <row r="26" spans="1:9" ht="16.5" thickBot="1" x14ac:dyDescent="0.3">
      <c r="E26" s="190" t="s">
        <v>57</v>
      </c>
      <c r="F26" s="190"/>
      <c r="H26" s="1" t="s">
        <v>58</v>
      </c>
    </row>
    <row r="27" spans="1:9" x14ac:dyDescent="0.25">
      <c r="A27" s="1" t="s">
        <v>32</v>
      </c>
      <c r="E27" s="9"/>
      <c r="F27" s="28">
        <f>D3</f>
        <v>-50000</v>
      </c>
      <c r="H27" s="9"/>
      <c r="I27" s="41">
        <f>H23</f>
        <v>23223.802087614022</v>
      </c>
    </row>
    <row r="28" spans="1:9" x14ac:dyDescent="0.25">
      <c r="E28" s="24"/>
      <c r="F28" s="13"/>
      <c r="H28" s="24"/>
      <c r="I28" s="13"/>
    </row>
    <row r="29" spans="1:9" x14ac:dyDescent="0.25">
      <c r="A29" s="193" t="s">
        <v>61</v>
      </c>
      <c r="B29" s="193"/>
      <c r="C29" s="193"/>
    </row>
    <row r="30" spans="1:9" x14ac:dyDescent="0.25">
      <c r="A30" s="193" t="s">
        <v>62</v>
      </c>
      <c r="B30" s="193"/>
      <c r="C30" s="193"/>
    </row>
    <row r="31" spans="1:9" x14ac:dyDescent="0.25">
      <c r="A31" s="193" t="s">
        <v>56</v>
      </c>
      <c r="B31" s="193"/>
      <c r="C31" s="22">
        <f>D2</f>
        <v>200000</v>
      </c>
    </row>
    <row r="32" spans="1:9" x14ac:dyDescent="0.25">
      <c r="A32" s="1" t="s">
        <v>63</v>
      </c>
      <c r="C32" s="22">
        <f>D3</f>
        <v>-50000</v>
      </c>
    </row>
    <row r="33" spans="1:3" x14ac:dyDescent="0.25">
      <c r="A33" s="1" t="s">
        <v>64</v>
      </c>
      <c r="C33" s="38">
        <f>C24*-1</f>
        <v>-23223.802087614022</v>
      </c>
    </row>
  </sheetData>
  <mergeCells count="10">
    <mergeCell ref="E22:F22"/>
    <mergeCell ref="A31:B31"/>
    <mergeCell ref="A10:C10"/>
    <mergeCell ref="B11:C11"/>
    <mergeCell ref="H21:I21"/>
    <mergeCell ref="H25:I25"/>
    <mergeCell ref="E26:F26"/>
    <mergeCell ref="A30:C30"/>
    <mergeCell ref="A29:C29"/>
    <mergeCell ref="E20:I2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5.75" x14ac:dyDescent="0.25"/>
  <cols>
    <col min="1" max="3" width="9.140625" style="1"/>
    <col min="4" max="5" width="16.28515625" style="1" bestFit="1" customWidth="1"/>
    <col min="6" max="9" width="9.140625" style="1"/>
    <col min="10" max="10" width="16.28515625" style="1" bestFit="1" customWidth="1"/>
    <col min="11" max="11" width="9.140625" style="1"/>
    <col min="12" max="12" width="16.28515625" style="1" bestFit="1" customWidth="1"/>
    <col min="13" max="16384" width="9.140625" style="1"/>
  </cols>
  <sheetData>
    <row r="1" spans="1:10" x14ac:dyDescent="0.25">
      <c r="A1" s="2" t="s">
        <v>417</v>
      </c>
    </row>
    <row r="2" spans="1:10" x14ac:dyDescent="0.25">
      <c r="A2" s="1" t="s">
        <v>65</v>
      </c>
      <c r="E2" s="42">
        <v>250000</v>
      </c>
    </row>
    <row r="3" spans="1:10" x14ac:dyDescent="0.25">
      <c r="A3" s="1" t="s">
        <v>66</v>
      </c>
      <c r="E3" s="32">
        <v>50000</v>
      </c>
    </row>
    <row r="4" spans="1:10" x14ac:dyDescent="0.25">
      <c r="A4" s="2" t="s">
        <v>67</v>
      </c>
      <c r="E4" s="43">
        <f>E2+E3</f>
        <v>300000</v>
      </c>
    </row>
    <row r="6" spans="1:10" x14ac:dyDescent="0.25">
      <c r="A6" s="1" t="s">
        <v>82</v>
      </c>
      <c r="C6" s="1">
        <v>10</v>
      </c>
    </row>
    <row r="7" spans="1:10" x14ac:dyDescent="0.25">
      <c r="A7" s="1" t="s">
        <v>83</v>
      </c>
      <c r="C7" s="1">
        <f>C6*12</f>
        <v>120</v>
      </c>
    </row>
    <row r="8" spans="1:10" x14ac:dyDescent="0.25">
      <c r="A8" s="1" t="s">
        <v>68</v>
      </c>
      <c r="D8" s="44">
        <v>0.1</v>
      </c>
    </row>
    <row r="10" spans="1:10" x14ac:dyDescent="0.25">
      <c r="A10" s="4" t="s">
        <v>69</v>
      </c>
      <c r="B10" s="3"/>
      <c r="C10" s="3"/>
      <c r="D10" s="3"/>
      <c r="E10" s="3"/>
    </row>
    <row r="11" spans="1:10" x14ac:dyDescent="0.25">
      <c r="A11" s="1" t="s">
        <v>84</v>
      </c>
    </row>
    <row r="12" spans="1:10" x14ac:dyDescent="0.25">
      <c r="A12" s="1" t="s">
        <v>85</v>
      </c>
    </row>
    <row r="13" spans="1:10" x14ac:dyDescent="0.25">
      <c r="A13" s="1" t="s">
        <v>86</v>
      </c>
    </row>
    <row r="15" spans="1:10" x14ac:dyDescent="0.25">
      <c r="A15" s="1" t="s">
        <v>70</v>
      </c>
    </row>
    <row r="16" spans="1:10" x14ac:dyDescent="0.25">
      <c r="A16" s="194" t="s">
        <v>71</v>
      </c>
      <c r="B16" s="194"/>
      <c r="C16" s="194"/>
      <c r="D16" s="194"/>
      <c r="G16" s="194" t="s">
        <v>77</v>
      </c>
      <c r="H16" s="194"/>
      <c r="I16" s="194"/>
      <c r="J16" s="194"/>
    </row>
    <row r="17" spans="1:12" x14ac:dyDescent="0.25">
      <c r="A17" s="1" t="s">
        <v>39</v>
      </c>
      <c r="D17" s="22">
        <f>E4</f>
        <v>300000</v>
      </c>
      <c r="G17" s="1" t="s">
        <v>78</v>
      </c>
      <c r="J17" s="22">
        <f>D17-D21</f>
        <v>277500</v>
      </c>
    </row>
    <row r="18" spans="1:12" x14ac:dyDescent="0.25">
      <c r="A18" s="1" t="s">
        <v>72</v>
      </c>
      <c r="D18" s="22">
        <f>D17*D8</f>
        <v>30000</v>
      </c>
    </row>
    <row r="19" spans="1:12" x14ac:dyDescent="0.25">
      <c r="A19" s="1" t="s">
        <v>76</v>
      </c>
      <c r="D19" s="22">
        <f>D17-D18</f>
        <v>270000</v>
      </c>
      <c r="G19" s="1" t="s">
        <v>80</v>
      </c>
      <c r="L19" s="29">
        <f>J21</f>
        <v>275000</v>
      </c>
    </row>
    <row r="20" spans="1:12" x14ac:dyDescent="0.25">
      <c r="A20" s="1" t="s">
        <v>73</v>
      </c>
      <c r="D20" s="22">
        <f>D19/C7</f>
        <v>2250</v>
      </c>
      <c r="G20" s="1" t="s">
        <v>79</v>
      </c>
      <c r="J20" s="32">
        <v>270000</v>
      </c>
    </row>
    <row r="21" spans="1:12" x14ac:dyDescent="0.25">
      <c r="A21" s="1" t="s">
        <v>74</v>
      </c>
      <c r="D21" s="22">
        <f>D20*10</f>
        <v>22500</v>
      </c>
      <c r="E21" s="45" t="s">
        <v>75</v>
      </c>
      <c r="G21" s="1" t="s">
        <v>44</v>
      </c>
      <c r="J21" s="32">
        <v>275000</v>
      </c>
    </row>
    <row r="22" spans="1:12" x14ac:dyDescent="0.25">
      <c r="D22" s="22"/>
      <c r="E22" s="45"/>
      <c r="J22" s="32"/>
    </row>
    <row r="23" spans="1:12" x14ac:dyDescent="0.25">
      <c r="G23" s="1" t="s">
        <v>81</v>
      </c>
    </row>
    <row r="24" spans="1:12" x14ac:dyDescent="0.25">
      <c r="G24" s="1" t="s">
        <v>55</v>
      </c>
      <c r="J24" s="29">
        <f>J17-L19</f>
        <v>2500</v>
      </c>
    </row>
  </sheetData>
  <mergeCells count="2">
    <mergeCell ref="A16:D16"/>
    <mergeCell ref="G16:J1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.75" x14ac:dyDescent="0.25"/>
  <cols>
    <col min="1" max="1" width="7.85546875" style="46" bestFit="1" customWidth="1"/>
    <col min="2" max="2" width="16.7109375" style="46" customWidth="1"/>
    <col min="3" max="3" width="18" style="46" customWidth="1"/>
    <col min="4" max="4" width="16.5703125" style="46" bestFit="1" customWidth="1"/>
    <col min="5" max="5" width="16.42578125" style="46" bestFit="1" customWidth="1"/>
    <col min="6" max="6" width="16.28515625" style="46" bestFit="1" customWidth="1"/>
    <col min="7" max="7" width="9.140625" style="46"/>
    <col min="8" max="8" width="19.85546875" style="46" customWidth="1"/>
    <col min="9" max="9" width="16.7109375" style="46" bestFit="1" customWidth="1"/>
    <col min="10" max="10" width="16.28515625" style="46" bestFit="1" customWidth="1"/>
    <col min="11" max="11" width="16" style="46" customWidth="1"/>
    <col min="12" max="12" width="16.28515625" style="46" bestFit="1" customWidth="1"/>
    <col min="13" max="13" width="16.7109375" style="46" bestFit="1" customWidth="1"/>
    <col min="14" max="16384" width="9.140625" style="46"/>
  </cols>
  <sheetData>
    <row r="1" spans="1:13" x14ac:dyDescent="0.25">
      <c r="A1" s="2" t="s">
        <v>418</v>
      </c>
    </row>
    <row r="2" spans="1:13" ht="16.5" thickBot="1" x14ac:dyDescent="0.3">
      <c r="A2" s="196" t="s">
        <v>87</v>
      </c>
      <c r="B2" s="196"/>
      <c r="C2" s="196"/>
      <c r="D2" s="196"/>
      <c r="E2" s="196"/>
      <c r="F2" s="196"/>
    </row>
    <row r="3" spans="1:13" ht="16.5" thickBot="1" x14ac:dyDescent="0.3">
      <c r="A3" s="47" t="s">
        <v>46</v>
      </c>
      <c r="B3" s="48" t="s">
        <v>88</v>
      </c>
      <c r="C3" s="197" t="s">
        <v>89</v>
      </c>
      <c r="D3" s="198"/>
      <c r="E3" s="199"/>
      <c r="F3" s="49" t="s">
        <v>90</v>
      </c>
      <c r="G3" s="50" t="s">
        <v>91</v>
      </c>
    </row>
    <row r="4" spans="1:13" ht="16.5" thickBot="1" x14ac:dyDescent="0.3">
      <c r="A4" s="51"/>
      <c r="B4" s="52" t="s">
        <v>92</v>
      </c>
      <c r="C4" s="52" t="s">
        <v>93</v>
      </c>
      <c r="D4" s="52" t="s">
        <v>94</v>
      </c>
      <c r="E4" s="52" t="s">
        <v>95</v>
      </c>
      <c r="F4" s="52" t="s">
        <v>96</v>
      </c>
      <c r="G4" s="200" t="s">
        <v>97</v>
      </c>
      <c r="H4" s="201"/>
      <c r="I4" s="201"/>
      <c r="K4" s="202" t="s">
        <v>98</v>
      </c>
      <c r="L4" s="202"/>
      <c r="M4" s="202"/>
    </row>
    <row r="5" spans="1:13" ht="16.5" thickBot="1" x14ac:dyDescent="0.3">
      <c r="A5" s="53">
        <v>1</v>
      </c>
      <c r="B5" s="54">
        <f>I5</f>
        <v>60000</v>
      </c>
      <c r="C5" s="54">
        <f>B5*0.02</f>
        <v>1200</v>
      </c>
      <c r="D5" s="55">
        <f>E5-C5</f>
        <v>1153.9711558678896</v>
      </c>
      <c r="E5" s="56">
        <f>I$7</f>
        <v>2353.9711558678896</v>
      </c>
      <c r="F5" s="54">
        <f>B5-D5</f>
        <v>58846.02884413211</v>
      </c>
      <c r="G5" s="57" t="s">
        <v>99</v>
      </c>
      <c r="H5" s="58"/>
      <c r="I5" s="59">
        <v>60000</v>
      </c>
      <c r="K5" s="46" t="s">
        <v>100</v>
      </c>
      <c r="M5" s="60">
        <v>60000</v>
      </c>
    </row>
    <row r="6" spans="1:13" ht="16.5" thickBot="1" x14ac:dyDescent="0.3">
      <c r="A6" s="53">
        <v>2</v>
      </c>
      <c r="B6" s="61">
        <f>F5</f>
        <v>58846.02884413211</v>
      </c>
      <c r="C6" s="54">
        <f t="shared" ref="C6:C40" si="0">B6*0.02</f>
        <v>1176.9205768826423</v>
      </c>
      <c r="D6" s="55">
        <f t="shared" ref="D6:D41" si="1">E6-C6</f>
        <v>1177.0505789852473</v>
      </c>
      <c r="E6" s="56">
        <f t="shared" ref="E6:E40" si="2">I$7</f>
        <v>2353.9711558678896</v>
      </c>
      <c r="F6" s="54">
        <f t="shared" ref="F6:F40" si="3">B6-D6</f>
        <v>57668.978265146863</v>
      </c>
      <c r="G6" s="57" t="s">
        <v>101</v>
      </c>
      <c r="H6" s="58"/>
      <c r="I6" s="46">
        <f>(1-1.02^-36)/0.02</f>
        <v>25.488842482387387</v>
      </c>
      <c r="K6" s="46" t="s">
        <v>102</v>
      </c>
      <c r="M6" s="59">
        <v>6000</v>
      </c>
    </row>
    <row r="7" spans="1:13" ht="16.5" thickBot="1" x14ac:dyDescent="0.3">
      <c r="A7" s="53">
        <v>3</v>
      </c>
      <c r="B7" s="61">
        <f t="shared" ref="B7:B40" si="4">F6</f>
        <v>57668.978265146863</v>
      </c>
      <c r="C7" s="54">
        <f t="shared" si="0"/>
        <v>1153.3795653029372</v>
      </c>
      <c r="D7" s="55">
        <f t="shared" si="1"/>
        <v>1200.5915905649524</v>
      </c>
      <c r="E7" s="56">
        <f t="shared" si="2"/>
        <v>2353.9711558678896</v>
      </c>
      <c r="F7" s="54">
        <f t="shared" si="3"/>
        <v>56468.38667458191</v>
      </c>
      <c r="G7" s="50" t="s">
        <v>103</v>
      </c>
      <c r="H7" s="50"/>
      <c r="I7" s="62">
        <f>I5/I6</f>
        <v>2353.9711558678896</v>
      </c>
      <c r="K7" s="46" t="s">
        <v>104</v>
      </c>
      <c r="M7" s="60">
        <f>M5-M6</f>
        <v>54000</v>
      </c>
    </row>
    <row r="8" spans="1:13" ht="16.5" thickBot="1" x14ac:dyDescent="0.3">
      <c r="A8" s="53">
        <v>4</v>
      </c>
      <c r="B8" s="61">
        <f t="shared" si="4"/>
        <v>56468.38667458191</v>
      </c>
      <c r="C8" s="54">
        <f t="shared" si="0"/>
        <v>1129.3677334916383</v>
      </c>
      <c r="D8" s="55">
        <f t="shared" si="1"/>
        <v>1224.6034223762513</v>
      </c>
      <c r="E8" s="56">
        <f t="shared" si="2"/>
        <v>2353.9711558678896</v>
      </c>
      <c r="F8" s="54">
        <f t="shared" si="3"/>
        <v>55243.783252205656</v>
      </c>
      <c r="K8" s="46" t="s">
        <v>105</v>
      </c>
      <c r="M8" s="46">
        <f>12*5</f>
        <v>60</v>
      </c>
    </row>
    <row r="9" spans="1:13" ht="16.5" thickBot="1" x14ac:dyDescent="0.3">
      <c r="A9" s="53">
        <v>5</v>
      </c>
      <c r="B9" s="61">
        <f t="shared" si="4"/>
        <v>55243.783252205656</v>
      </c>
      <c r="C9" s="54">
        <f t="shared" si="0"/>
        <v>1104.8756650441132</v>
      </c>
      <c r="D9" s="55">
        <f t="shared" si="1"/>
        <v>1249.0954908237763</v>
      </c>
      <c r="E9" s="56">
        <f t="shared" si="2"/>
        <v>2353.9711558678896</v>
      </c>
      <c r="F9" s="54">
        <f t="shared" si="3"/>
        <v>53994.68776138188</v>
      </c>
      <c r="G9" s="63" t="s">
        <v>106</v>
      </c>
      <c r="H9" s="64"/>
      <c r="K9" s="46" t="s">
        <v>73</v>
      </c>
      <c r="M9" s="60">
        <f>M7/M8</f>
        <v>900</v>
      </c>
    </row>
    <row r="10" spans="1:13" ht="16.5" thickBot="1" x14ac:dyDescent="0.3">
      <c r="A10" s="53">
        <v>6</v>
      </c>
      <c r="B10" s="61">
        <f t="shared" si="4"/>
        <v>53994.68776138188</v>
      </c>
      <c r="C10" s="54">
        <f t="shared" si="0"/>
        <v>1079.8937552276377</v>
      </c>
      <c r="D10" s="55">
        <f t="shared" si="1"/>
        <v>1274.0774006402519</v>
      </c>
      <c r="E10" s="56">
        <f t="shared" si="2"/>
        <v>2353.9711558678896</v>
      </c>
      <c r="F10" s="54">
        <f t="shared" si="3"/>
        <v>52720.61036074163</v>
      </c>
      <c r="G10" s="50"/>
      <c r="H10" s="50"/>
    </row>
    <row r="11" spans="1:13" ht="16.5" thickBot="1" x14ac:dyDescent="0.3">
      <c r="A11" s="53">
        <v>7</v>
      </c>
      <c r="B11" s="61">
        <f t="shared" si="4"/>
        <v>52720.61036074163</v>
      </c>
      <c r="C11" s="54">
        <f t="shared" si="0"/>
        <v>1054.4122072148325</v>
      </c>
      <c r="D11" s="55">
        <f t="shared" si="1"/>
        <v>1299.5589486530571</v>
      </c>
      <c r="E11" s="56">
        <f t="shared" si="2"/>
        <v>2353.9711558678896</v>
      </c>
      <c r="F11" s="54">
        <f t="shared" si="3"/>
        <v>51421.051412088571</v>
      </c>
      <c r="H11" s="195" t="s">
        <v>107</v>
      </c>
      <c r="I11" s="195"/>
      <c r="K11" s="195" t="s">
        <v>108</v>
      </c>
      <c r="L11" s="195"/>
    </row>
    <row r="12" spans="1:13" ht="16.5" thickBot="1" x14ac:dyDescent="0.3">
      <c r="A12" s="53">
        <v>8</v>
      </c>
      <c r="B12" s="61">
        <f t="shared" si="4"/>
        <v>51421.051412088571</v>
      </c>
      <c r="C12" s="54">
        <f t="shared" si="0"/>
        <v>1028.4210282417714</v>
      </c>
      <c r="D12" s="55">
        <f t="shared" si="1"/>
        <v>1325.5501276261182</v>
      </c>
      <c r="E12" s="56">
        <f t="shared" si="2"/>
        <v>2353.9711558678896</v>
      </c>
      <c r="F12" s="54">
        <f t="shared" si="3"/>
        <v>50095.501284462451</v>
      </c>
      <c r="H12" s="65" t="s">
        <v>109</v>
      </c>
      <c r="I12" s="66">
        <f>K12</f>
        <v>2353.9711558678896</v>
      </c>
      <c r="J12" s="67"/>
      <c r="K12" s="68">
        <f>E5</f>
        <v>2353.9711558678896</v>
      </c>
      <c r="L12" s="66">
        <f>SUM(E5:E16)</f>
        <v>28247.653870414677</v>
      </c>
    </row>
    <row r="13" spans="1:13" ht="16.5" thickBot="1" x14ac:dyDescent="0.3">
      <c r="A13" s="53">
        <v>9</v>
      </c>
      <c r="B13" s="61">
        <f t="shared" si="4"/>
        <v>50095.501284462451</v>
      </c>
      <c r="C13" s="54">
        <f t="shared" si="0"/>
        <v>1001.910025689249</v>
      </c>
      <c r="D13" s="55">
        <f t="shared" si="1"/>
        <v>1352.0611301786407</v>
      </c>
      <c r="E13" s="56">
        <f t="shared" si="2"/>
        <v>2353.9711558678896</v>
      </c>
      <c r="F13" s="54">
        <f t="shared" si="3"/>
        <v>48743.44015428381</v>
      </c>
      <c r="H13" s="69"/>
      <c r="I13" s="70">
        <f>K13</f>
        <v>2353.9711558678896</v>
      </c>
      <c r="J13" s="67"/>
      <c r="K13" s="69">
        <f>E6</f>
        <v>2353.9711558678896</v>
      </c>
      <c r="L13" s="71">
        <f>K17</f>
        <v>2353.9711558678896</v>
      </c>
    </row>
    <row r="14" spans="1:13" ht="16.5" thickBot="1" x14ac:dyDescent="0.3">
      <c r="A14" s="53">
        <v>10</v>
      </c>
      <c r="B14" s="61">
        <f t="shared" si="4"/>
        <v>48743.44015428381</v>
      </c>
      <c r="C14" s="54">
        <f t="shared" si="0"/>
        <v>974.86880308567618</v>
      </c>
      <c r="D14" s="55">
        <f t="shared" si="1"/>
        <v>1379.1023527822135</v>
      </c>
      <c r="E14" s="56">
        <f t="shared" si="2"/>
        <v>2353.9711558678896</v>
      </c>
      <c r="F14" s="54">
        <f t="shared" si="3"/>
        <v>47364.337801501599</v>
      </c>
      <c r="H14" s="72"/>
      <c r="I14" s="73"/>
      <c r="J14" s="67"/>
      <c r="K14" s="72"/>
      <c r="L14" s="70">
        <f>K18</f>
        <v>2353.9711558678896</v>
      </c>
    </row>
    <row r="15" spans="1:13" ht="16.5" thickBot="1" x14ac:dyDescent="0.3">
      <c r="A15" s="53">
        <v>11</v>
      </c>
      <c r="B15" s="61">
        <f t="shared" si="4"/>
        <v>47364.337801501599</v>
      </c>
      <c r="C15" s="54">
        <f t="shared" si="0"/>
        <v>947.28675603003194</v>
      </c>
      <c r="D15" s="55">
        <f t="shared" si="1"/>
        <v>1406.6843998378577</v>
      </c>
      <c r="E15" s="56">
        <f t="shared" si="2"/>
        <v>2353.9711558678896</v>
      </c>
      <c r="F15" s="54">
        <f t="shared" si="3"/>
        <v>45957.653401663738</v>
      </c>
      <c r="H15" s="72"/>
      <c r="I15" s="73"/>
      <c r="J15" s="67"/>
      <c r="K15" s="72"/>
      <c r="L15" s="74">
        <f>L14+L13+L12-K12-K13</f>
        <v>28247.653870414673</v>
      </c>
    </row>
    <row r="16" spans="1:13" ht="16.5" thickBot="1" x14ac:dyDescent="0.3">
      <c r="A16" s="53">
        <v>12</v>
      </c>
      <c r="B16" s="61">
        <f t="shared" si="4"/>
        <v>45957.653401663738</v>
      </c>
      <c r="C16" s="54">
        <f t="shared" si="0"/>
        <v>919.15306803327474</v>
      </c>
      <c r="D16" s="55">
        <f t="shared" si="1"/>
        <v>1434.8180878346147</v>
      </c>
      <c r="E16" s="56">
        <f t="shared" si="2"/>
        <v>2353.9711558678896</v>
      </c>
      <c r="F16" s="54">
        <f t="shared" si="3"/>
        <v>44522.83531382912</v>
      </c>
      <c r="H16" s="195" t="s">
        <v>110</v>
      </c>
      <c r="I16" s="195"/>
      <c r="J16" s="67"/>
      <c r="K16" s="195" t="s">
        <v>111</v>
      </c>
      <c r="L16" s="195"/>
    </row>
    <row r="17" spans="1:15" ht="16.5" thickBot="1" x14ac:dyDescent="0.3">
      <c r="A17" s="53">
        <v>13</v>
      </c>
      <c r="B17" s="61">
        <f t="shared" si="4"/>
        <v>44522.83531382912</v>
      </c>
      <c r="C17" s="54">
        <f>B17*0.02</f>
        <v>890.45670627658239</v>
      </c>
      <c r="D17" s="55">
        <f t="shared" si="1"/>
        <v>1463.5144495913073</v>
      </c>
      <c r="E17" s="56">
        <f t="shared" si="2"/>
        <v>2353.9711558678896</v>
      </c>
      <c r="F17" s="54">
        <f t="shared" si="3"/>
        <v>43059.320864237816</v>
      </c>
      <c r="H17" s="68">
        <f>SUM(C5:C16)</f>
        <v>12770.489184243803</v>
      </c>
      <c r="I17" s="66">
        <f>K23</f>
        <v>1200</v>
      </c>
      <c r="J17" s="67"/>
      <c r="K17" s="68">
        <f>E17</f>
        <v>2353.9711558678896</v>
      </c>
      <c r="L17" s="66">
        <f>SUM(E17:E40)</f>
        <v>56495.307740829354</v>
      </c>
    </row>
    <row r="18" spans="1:15" ht="16.5" thickBot="1" x14ac:dyDescent="0.3">
      <c r="A18" s="53">
        <v>14</v>
      </c>
      <c r="B18" s="61">
        <f t="shared" si="4"/>
        <v>43059.320864237816</v>
      </c>
      <c r="C18" s="54">
        <f t="shared" si="0"/>
        <v>861.18641728475632</v>
      </c>
      <c r="D18" s="55">
        <f t="shared" si="1"/>
        <v>1492.7847385831333</v>
      </c>
      <c r="E18" s="56">
        <f t="shared" si="2"/>
        <v>2353.9711558678896</v>
      </c>
      <c r="F18" s="54">
        <f t="shared" si="3"/>
        <v>41566.536125654682</v>
      </c>
      <c r="H18" s="75">
        <f>C17</f>
        <v>890.45670627658239</v>
      </c>
      <c r="I18" s="70">
        <f>K24</f>
        <v>1176.9205768826423</v>
      </c>
      <c r="J18" s="67"/>
      <c r="K18" s="69">
        <f>E18</f>
        <v>2353.9711558678896</v>
      </c>
      <c r="L18" s="74">
        <f>L17-K17-K18</f>
        <v>51787.365429093574</v>
      </c>
    </row>
    <row r="19" spans="1:15" ht="16.5" thickBot="1" x14ac:dyDescent="0.3">
      <c r="A19" s="53">
        <v>15</v>
      </c>
      <c r="B19" s="61">
        <f t="shared" si="4"/>
        <v>41566.536125654682</v>
      </c>
      <c r="C19" s="54">
        <f t="shared" si="0"/>
        <v>831.33072251309363</v>
      </c>
      <c r="D19" s="55">
        <f t="shared" si="1"/>
        <v>1522.640433354796</v>
      </c>
      <c r="E19" s="56">
        <f t="shared" si="2"/>
        <v>2353.9711558678896</v>
      </c>
      <c r="F19" s="54">
        <f t="shared" si="3"/>
        <v>40043.895692299884</v>
      </c>
      <c r="H19" s="69">
        <f>C18</f>
        <v>861.18641728475632</v>
      </c>
      <c r="I19" s="73"/>
      <c r="J19" s="67"/>
      <c r="K19" s="72"/>
      <c r="L19" s="73"/>
    </row>
    <row r="20" spans="1:15" ht="16.5" thickBot="1" x14ac:dyDescent="0.3">
      <c r="A20" s="53">
        <v>16</v>
      </c>
      <c r="B20" s="61">
        <f t="shared" si="4"/>
        <v>40043.895692299884</v>
      </c>
      <c r="C20" s="54">
        <f t="shared" si="0"/>
        <v>800.87791384599768</v>
      </c>
      <c r="D20" s="55">
        <f t="shared" si="1"/>
        <v>1553.0932420218919</v>
      </c>
      <c r="E20" s="56">
        <f t="shared" si="2"/>
        <v>2353.9711558678896</v>
      </c>
      <c r="F20" s="54">
        <f t="shared" si="3"/>
        <v>38490.802450277995</v>
      </c>
      <c r="H20" s="76">
        <f>H19+H18+H17-I17-I18</f>
        <v>12145.2117309225</v>
      </c>
      <c r="I20" s="73"/>
      <c r="J20" s="67"/>
      <c r="K20" s="72"/>
      <c r="L20" s="73"/>
    </row>
    <row r="21" spans="1:15" ht="16.5" thickBot="1" x14ac:dyDescent="0.3">
      <c r="A21" s="53">
        <v>17</v>
      </c>
      <c r="B21" s="61">
        <f t="shared" si="4"/>
        <v>38490.802450277995</v>
      </c>
      <c r="C21" s="54">
        <f t="shared" si="0"/>
        <v>769.81604900555988</v>
      </c>
      <c r="D21" s="55">
        <f t="shared" si="1"/>
        <v>1584.1551068623298</v>
      </c>
      <c r="E21" s="56">
        <f t="shared" si="2"/>
        <v>2353.9711558678896</v>
      </c>
      <c r="F21" s="54">
        <f t="shared" si="3"/>
        <v>36906.647343415665</v>
      </c>
      <c r="H21" s="67"/>
      <c r="I21" s="67"/>
      <c r="J21" s="67"/>
    </row>
    <row r="22" spans="1:15" ht="16.5" thickBot="1" x14ac:dyDescent="0.3">
      <c r="A22" s="53">
        <v>18</v>
      </c>
      <c r="B22" s="61">
        <f t="shared" si="4"/>
        <v>36906.647343415665</v>
      </c>
      <c r="C22" s="54">
        <f t="shared" si="0"/>
        <v>738.1329468683133</v>
      </c>
      <c r="D22" s="55">
        <f t="shared" si="1"/>
        <v>1615.8382089995762</v>
      </c>
      <c r="E22" s="56">
        <f t="shared" si="2"/>
        <v>2353.9711558678896</v>
      </c>
      <c r="F22" s="54">
        <f t="shared" si="3"/>
        <v>35290.809134416086</v>
      </c>
      <c r="H22" s="195" t="s">
        <v>112</v>
      </c>
      <c r="I22" s="195"/>
      <c r="J22" s="67"/>
      <c r="K22" s="195" t="s">
        <v>113</v>
      </c>
      <c r="L22" s="195"/>
    </row>
    <row r="23" spans="1:15" ht="16.5" thickBot="1" x14ac:dyDescent="0.3">
      <c r="A23" s="53">
        <v>19</v>
      </c>
      <c r="B23" s="61">
        <f t="shared" si="4"/>
        <v>35290.809134416086</v>
      </c>
      <c r="C23" s="54">
        <f t="shared" si="0"/>
        <v>705.81618268832176</v>
      </c>
      <c r="D23" s="55">
        <f t="shared" si="1"/>
        <v>1648.1549731795678</v>
      </c>
      <c r="E23" s="56">
        <f t="shared" si="2"/>
        <v>2353.9711558678896</v>
      </c>
      <c r="F23" s="54">
        <f t="shared" si="3"/>
        <v>33642.654161236518</v>
      </c>
      <c r="H23" s="68">
        <f>SUM(C17:C40)</f>
        <v>11972.472427000179</v>
      </c>
      <c r="I23" s="66">
        <f>H18</f>
        <v>890.45670627658239</v>
      </c>
      <c r="J23" s="67"/>
      <c r="K23" s="68">
        <f>C5</f>
        <v>1200</v>
      </c>
      <c r="L23" s="77"/>
    </row>
    <row r="24" spans="1:15" ht="16.5" thickBot="1" x14ac:dyDescent="0.3">
      <c r="A24" s="78">
        <v>20</v>
      </c>
      <c r="B24" s="61">
        <f t="shared" si="4"/>
        <v>33642.654161236518</v>
      </c>
      <c r="C24" s="54">
        <f t="shared" si="0"/>
        <v>672.85308322473043</v>
      </c>
      <c r="D24" s="55">
        <f t="shared" si="1"/>
        <v>1681.1180726431592</v>
      </c>
      <c r="E24" s="56">
        <f t="shared" si="2"/>
        <v>2353.9711558678896</v>
      </c>
      <c r="F24" s="54">
        <f t="shared" si="3"/>
        <v>31961.536088593359</v>
      </c>
      <c r="H24" s="76">
        <f>H23-I23-I24</f>
        <v>10220.829303438841</v>
      </c>
      <c r="I24" s="70">
        <f>H19</f>
        <v>861.18641728475632</v>
      </c>
      <c r="J24" s="67"/>
      <c r="K24" s="69">
        <f>C6</f>
        <v>1176.9205768826423</v>
      </c>
      <c r="L24" s="73"/>
    </row>
    <row r="25" spans="1:15" ht="16.5" thickBot="1" x14ac:dyDescent="0.3">
      <c r="A25" s="78">
        <v>21</v>
      </c>
      <c r="B25" s="61">
        <f t="shared" si="4"/>
        <v>31961.536088593359</v>
      </c>
      <c r="C25" s="54">
        <f t="shared" si="0"/>
        <v>639.23072177186714</v>
      </c>
      <c r="D25" s="55">
        <f t="shared" si="1"/>
        <v>1714.7404340960225</v>
      </c>
      <c r="E25" s="56">
        <f t="shared" si="2"/>
        <v>2353.9711558678896</v>
      </c>
      <c r="F25" s="54">
        <f t="shared" si="3"/>
        <v>30246.795654497335</v>
      </c>
      <c r="H25" s="72"/>
      <c r="I25" s="73"/>
      <c r="J25" s="67"/>
      <c r="K25" s="76">
        <f>SUM(K23:K24)</f>
        <v>2376.9205768826423</v>
      </c>
      <c r="L25" s="73"/>
      <c r="N25" s="67"/>
      <c r="O25" s="67"/>
    </row>
    <row r="26" spans="1:15" ht="16.5" thickBot="1" x14ac:dyDescent="0.3">
      <c r="A26" s="78">
        <v>22</v>
      </c>
      <c r="B26" s="61">
        <f t="shared" si="4"/>
        <v>30246.795654497335</v>
      </c>
      <c r="C26" s="54">
        <f t="shared" si="0"/>
        <v>604.93591308994667</v>
      </c>
      <c r="D26" s="55">
        <f t="shared" si="1"/>
        <v>1749.035242777943</v>
      </c>
      <c r="E26" s="56">
        <f t="shared" si="2"/>
        <v>2353.9711558678896</v>
      </c>
      <c r="F26" s="54">
        <f t="shared" si="3"/>
        <v>28497.760411719391</v>
      </c>
      <c r="H26" s="72"/>
      <c r="I26" s="73"/>
      <c r="J26" s="67"/>
      <c r="K26" s="75"/>
      <c r="L26" s="73"/>
      <c r="N26" s="67"/>
      <c r="O26" s="67"/>
    </row>
    <row r="27" spans="1:15" ht="16.5" thickBot="1" x14ac:dyDescent="0.3">
      <c r="A27" s="78">
        <v>23</v>
      </c>
      <c r="B27" s="61">
        <f t="shared" si="4"/>
        <v>28497.760411719391</v>
      </c>
      <c r="C27" s="54">
        <f t="shared" si="0"/>
        <v>569.9552082343879</v>
      </c>
      <c r="D27" s="55">
        <f t="shared" si="1"/>
        <v>1784.0159476335016</v>
      </c>
      <c r="E27" s="56">
        <f t="shared" si="2"/>
        <v>2353.9711558678896</v>
      </c>
      <c r="F27" s="54">
        <f t="shared" si="3"/>
        <v>26713.744464085888</v>
      </c>
      <c r="H27" s="67"/>
      <c r="I27" s="67"/>
      <c r="J27" s="67"/>
      <c r="N27" s="67"/>
      <c r="O27" s="67"/>
    </row>
    <row r="28" spans="1:15" ht="16.5" thickBot="1" x14ac:dyDescent="0.3">
      <c r="A28" s="78">
        <v>24</v>
      </c>
      <c r="B28" s="61">
        <f t="shared" si="4"/>
        <v>26713.744464085888</v>
      </c>
      <c r="C28" s="54">
        <f t="shared" si="0"/>
        <v>534.27488928171783</v>
      </c>
      <c r="D28" s="55">
        <f t="shared" si="1"/>
        <v>1819.6962665861718</v>
      </c>
      <c r="E28" s="56">
        <f t="shared" si="2"/>
        <v>2353.9711558678896</v>
      </c>
      <c r="F28" s="54">
        <f t="shared" si="3"/>
        <v>24894.048197499716</v>
      </c>
      <c r="H28" s="195" t="s">
        <v>114</v>
      </c>
      <c r="I28" s="195"/>
      <c r="J28" s="67"/>
      <c r="K28" s="195" t="s">
        <v>115</v>
      </c>
      <c r="L28" s="195"/>
      <c r="N28" s="67"/>
      <c r="O28" s="67"/>
    </row>
    <row r="29" spans="1:15" ht="16.5" thickBot="1" x14ac:dyDescent="0.3">
      <c r="A29" s="78">
        <v>25</v>
      </c>
      <c r="B29" s="61">
        <f t="shared" si="4"/>
        <v>24894.048197499716</v>
      </c>
      <c r="C29" s="54">
        <f t="shared" si="0"/>
        <v>497.88096394999434</v>
      </c>
      <c r="D29" s="55">
        <f t="shared" si="1"/>
        <v>1856.0901919178953</v>
      </c>
      <c r="E29" s="56">
        <f t="shared" si="2"/>
        <v>2353.9711558678896</v>
      </c>
      <c r="F29" s="54">
        <f t="shared" si="3"/>
        <v>23037.958005581822</v>
      </c>
      <c r="G29" s="50"/>
      <c r="H29" s="68">
        <f>I5</f>
        <v>60000</v>
      </c>
      <c r="I29" s="66"/>
      <c r="J29" s="67"/>
      <c r="K29" s="79">
        <f>M9</f>
        <v>900</v>
      </c>
      <c r="L29" s="66"/>
    </row>
    <row r="30" spans="1:15" ht="16.5" thickBot="1" x14ac:dyDescent="0.3">
      <c r="A30" s="78">
        <v>26</v>
      </c>
      <c r="B30" s="61">
        <f t="shared" si="4"/>
        <v>23037.958005581822</v>
      </c>
      <c r="C30" s="54">
        <f t="shared" si="0"/>
        <v>460.75916011163645</v>
      </c>
      <c r="D30" s="55">
        <f t="shared" si="1"/>
        <v>1893.2119957562531</v>
      </c>
      <c r="E30" s="56">
        <f t="shared" si="2"/>
        <v>2353.9711558678896</v>
      </c>
      <c r="F30" s="54">
        <f t="shared" si="3"/>
        <v>21144.746009825569</v>
      </c>
      <c r="H30" s="75"/>
      <c r="I30" s="70"/>
      <c r="J30" s="67"/>
      <c r="K30" s="75">
        <f>M9</f>
        <v>900</v>
      </c>
      <c r="L30" s="70"/>
    </row>
    <row r="31" spans="1:15" ht="16.5" thickBot="1" x14ac:dyDescent="0.3">
      <c r="A31" s="78">
        <v>27</v>
      </c>
      <c r="B31" s="61">
        <f t="shared" si="4"/>
        <v>21144.746009825569</v>
      </c>
      <c r="C31" s="54">
        <f t="shared" si="0"/>
        <v>422.89492019651141</v>
      </c>
      <c r="D31" s="55">
        <f t="shared" si="1"/>
        <v>1931.0762356713781</v>
      </c>
      <c r="E31" s="56">
        <f t="shared" si="2"/>
        <v>2353.9711558678896</v>
      </c>
      <c r="F31" s="54">
        <f t="shared" si="3"/>
        <v>19213.66977415419</v>
      </c>
      <c r="H31" s="72"/>
      <c r="I31" s="73"/>
      <c r="J31" s="67"/>
      <c r="K31" s="80">
        <f>M9</f>
        <v>900</v>
      </c>
      <c r="L31" s="73"/>
    </row>
    <row r="32" spans="1:15" ht="16.5" thickBot="1" x14ac:dyDescent="0.3">
      <c r="A32" s="78">
        <v>28</v>
      </c>
      <c r="B32" s="61">
        <f t="shared" si="4"/>
        <v>19213.66977415419</v>
      </c>
      <c r="C32" s="54">
        <f t="shared" si="0"/>
        <v>384.27339548308379</v>
      </c>
      <c r="D32" s="55">
        <f t="shared" si="1"/>
        <v>1969.6977603848059</v>
      </c>
      <c r="E32" s="56">
        <f t="shared" si="2"/>
        <v>2353.9711558678896</v>
      </c>
      <c r="F32" s="54">
        <f t="shared" si="3"/>
        <v>17243.972013769384</v>
      </c>
      <c r="H32" s="72"/>
      <c r="I32" s="73"/>
      <c r="J32" s="67"/>
      <c r="K32" s="76">
        <f>SUM(K29:K31)</f>
        <v>2700</v>
      </c>
      <c r="L32" s="73"/>
    </row>
    <row r="33" spans="1:10" ht="16.5" thickBot="1" x14ac:dyDescent="0.3">
      <c r="A33" s="78">
        <v>29</v>
      </c>
      <c r="B33" s="61">
        <f t="shared" si="4"/>
        <v>17243.972013769384</v>
      </c>
      <c r="C33" s="54">
        <f t="shared" si="0"/>
        <v>344.87944027538771</v>
      </c>
      <c r="D33" s="55">
        <f t="shared" si="1"/>
        <v>2009.0917155925019</v>
      </c>
      <c r="E33" s="56">
        <f t="shared" si="2"/>
        <v>2353.9711558678896</v>
      </c>
      <c r="F33" s="54">
        <f t="shared" si="3"/>
        <v>15234.880298176882</v>
      </c>
      <c r="H33" s="67"/>
      <c r="I33" s="67"/>
      <c r="J33" s="67"/>
    </row>
    <row r="34" spans="1:10" ht="16.5" thickBot="1" x14ac:dyDescent="0.3">
      <c r="A34" s="78">
        <v>30</v>
      </c>
      <c r="B34" s="61">
        <f t="shared" si="4"/>
        <v>15234.880298176882</v>
      </c>
      <c r="C34" s="54">
        <f t="shared" si="0"/>
        <v>304.69760596353763</v>
      </c>
      <c r="D34" s="55">
        <f t="shared" si="1"/>
        <v>2049.273549904352</v>
      </c>
      <c r="E34" s="56">
        <f t="shared" si="2"/>
        <v>2353.9711558678896</v>
      </c>
      <c r="F34" s="54">
        <f t="shared" si="3"/>
        <v>13185.60674827253</v>
      </c>
      <c r="H34" s="195" t="s">
        <v>116</v>
      </c>
      <c r="I34" s="195"/>
      <c r="J34" s="67"/>
    </row>
    <row r="35" spans="1:10" ht="16.5" thickBot="1" x14ac:dyDescent="0.3">
      <c r="A35" s="78">
        <v>31</v>
      </c>
      <c r="B35" s="61">
        <f t="shared" si="4"/>
        <v>13185.60674827253</v>
      </c>
      <c r="C35" s="54">
        <f t="shared" si="0"/>
        <v>263.71213496545062</v>
      </c>
      <c r="D35" s="55">
        <f t="shared" si="1"/>
        <v>2090.2590209024388</v>
      </c>
      <c r="E35" s="56">
        <f t="shared" si="2"/>
        <v>2353.9711558678896</v>
      </c>
      <c r="F35" s="54">
        <f t="shared" si="3"/>
        <v>11095.347727370092</v>
      </c>
      <c r="H35" s="68"/>
      <c r="I35" s="66">
        <f>K29</f>
        <v>900</v>
      </c>
      <c r="J35" s="67"/>
    </row>
    <row r="36" spans="1:10" ht="16.5" thickBot="1" x14ac:dyDescent="0.3">
      <c r="A36" s="78">
        <v>32</v>
      </c>
      <c r="B36" s="61">
        <f t="shared" si="4"/>
        <v>11095.347727370092</v>
      </c>
      <c r="C36" s="54">
        <f t="shared" si="0"/>
        <v>221.90695454740185</v>
      </c>
      <c r="D36" s="55">
        <f t="shared" si="1"/>
        <v>2132.0642013204879</v>
      </c>
      <c r="E36" s="56">
        <f t="shared" si="2"/>
        <v>2353.9711558678896</v>
      </c>
      <c r="F36" s="54">
        <f t="shared" si="3"/>
        <v>8963.2835260496031</v>
      </c>
      <c r="G36" s="50"/>
      <c r="H36" s="75"/>
      <c r="I36" s="70">
        <f>K30</f>
        <v>900</v>
      </c>
      <c r="J36" s="67"/>
    </row>
    <row r="37" spans="1:10" ht="16.5" thickBot="1" x14ac:dyDescent="0.3">
      <c r="A37" s="78">
        <v>33</v>
      </c>
      <c r="B37" s="61">
        <f t="shared" si="4"/>
        <v>8963.2835260496031</v>
      </c>
      <c r="C37" s="54">
        <f t="shared" si="0"/>
        <v>179.26567052099207</v>
      </c>
      <c r="D37" s="55">
        <f t="shared" si="1"/>
        <v>2174.7054853468976</v>
      </c>
      <c r="E37" s="56">
        <f t="shared" si="2"/>
        <v>2353.9711558678896</v>
      </c>
      <c r="F37" s="54">
        <f t="shared" si="3"/>
        <v>6788.578040702705</v>
      </c>
      <c r="H37" s="72"/>
      <c r="I37" s="81">
        <f>K31</f>
        <v>900</v>
      </c>
      <c r="J37" s="67"/>
    </row>
    <row r="38" spans="1:10" ht="16.5" thickBot="1" x14ac:dyDescent="0.3">
      <c r="A38" s="78">
        <v>34</v>
      </c>
      <c r="B38" s="61">
        <f t="shared" si="4"/>
        <v>6788.578040702705</v>
      </c>
      <c r="C38" s="54">
        <f t="shared" si="0"/>
        <v>135.77156081405411</v>
      </c>
      <c r="D38" s="55">
        <f t="shared" si="1"/>
        <v>2218.1995950538353</v>
      </c>
      <c r="E38" s="56">
        <f t="shared" si="2"/>
        <v>2353.9711558678896</v>
      </c>
      <c r="F38" s="54">
        <f t="shared" si="3"/>
        <v>4570.3784456488702</v>
      </c>
      <c r="H38" s="72"/>
      <c r="I38" s="74">
        <f>SUM(I35:I37)</f>
        <v>2700</v>
      </c>
      <c r="J38" s="67"/>
    </row>
    <row r="39" spans="1:10" ht="16.5" thickBot="1" x14ac:dyDescent="0.3">
      <c r="A39" s="78">
        <v>35</v>
      </c>
      <c r="B39" s="61">
        <f t="shared" si="4"/>
        <v>4570.3784456488702</v>
      </c>
      <c r="C39" s="54">
        <f t="shared" si="0"/>
        <v>91.40756891297741</v>
      </c>
      <c r="D39" s="55">
        <f t="shared" si="1"/>
        <v>2262.5635869549124</v>
      </c>
      <c r="E39" s="56">
        <f t="shared" si="2"/>
        <v>2353.9711558678896</v>
      </c>
      <c r="F39" s="54">
        <f t="shared" si="3"/>
        <v>2307.8148586939578</v>
      </c>
    </row>
    <row r="40" spans="1:10" ht="16.5" thickBot="1" x14ac:dyDescent="0.3">
      <c r="A40" s="78">
        <v>36</v>
      </c>
      <c r="B40" s="61">
        <f t="shared" si="4"/>
        <v>2307.8148586939578</v>
      </c>
      <c r="C40" s="54">
        <f t="shared" si="0"/>
        <v>46.15629717387916</v>
      </c>
      <c r="D40" s="55">
        <f t="shared" si="1"/>
        <v>2307.8148586940106</v>
      </c>
      <c r="E40" s="56">
        <f t="shared" si="2"/>
        <v>2353.9711558678896</v>
      </c>
      <c r="F40" s="54">
        <f t="shared" si="3"/>
        <v>-5.2750692702829838E-11</v>
      </c>
    </row>
    <row r="41" spans="1:10" ht="16.5" thickBot="1" x14ac:dyDescent="0.3">
      <c r="A41" s="82" t="s">
        <v>117</v>
      </c>
      <c r="B41" s="82"/>
      <c r="C41" s="83">
        <f>SUM(C5:C40)</f>
        <v>24742.961611243987</v>
      </c>
      <c r="D41" s="84">
        <f t="shared" si="1"/>
        <v>59999.999999999985</v>
      </c>
      <c r="E41" s="83">
        <f>SUM(E5:E40)</f>
        <v>84742.961611243969</v>
      </c>
      <c r="F41" s="85"/>
    </row>
    <row r="47" spans="1:10" x14ac:dyDescent="0.25">
      <c r="H47" s="67"/>
      <c r="I47" s="67"/>
      <c r="J47" s="67"/>
    </row>
  </sheetData>
  <mergeCells count="13">
    <mergeCell ref="A2:F2"/>
    <mergeCell ref="C3:E3"/>
    <mergeCell ref="G4:I4"/>
    <mergeCell ref="K4:M4"/>
    <mergeCell ref="H11:I11"/>
    <mergeCell ref="K11:L11"/>
    <mergeCell ref="H34:I34"/>
    <mergeCell ref="H16:I16"/>
    <mergeCell ref="K16:L16"/>
    <mergeCell ref="H22:I22"/>
    <mergeCell ref="K22:L22"/>
    <mergeCell ref="H28:I28"/>
    <mergeCell ref="K28:L2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/>
  </sheetViews>
  <sheetFormatPr defaultRowHeight="15.75" x14ac:dyDescent="0.25"/>
  <cols>
    <col min="1" max="16384" width="9.140625" style="1"/>
  </cols>
  <sheetData>
    <row r="1" spans="1:15" x14ac:dyDescent="0.25">
      <c r="A1" s="2" t="s">
        <v>419</v>
      </c>
    </row>
    <row r="2" spans="1:15" x14ac:dyDescent="0.25">
      <c r="A2" s="4" t="s">
        <v>0</v>
      </c>
      <c r="B2" s="3"/>
    </row>
    <row r="3" spans="1:15" x14ac:dyDescent="0.25">
      <c r="A3" s="5" t="s">
        <v>118</v>
      </c>
      <c r="B3" s="5"/>
      <c r="C3" s="5"/>
      <c r="D3" s="5"/>
      <c r="E3" s="5"/>
    </row>
    <row r="5" spans="1:15" x14ac:dyDescent="0.25">
      <c r="A5" s="4" t="s">
        <v>2</v>
      </c>
      <c r="B5" s="3"/>
    </row>
    <row r="6" spans="1:15" x14ac:dyDescent="0.25">
      <c r="A6" s="5" t="s">
        <v>119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8" spans="1:15" x14ac:dyDescent="0.25">
      <c r="A8" s="4" t="s">
        <v>4</v>
      </c>
      <c r="B8" s="3"/>
    </row>
    <row r="9" spans="1:15" x14ac:dyDescent="0.25">
      <c r="A9" s="2" t="s">
        <v>120</v>
      </c>
      <c r="B9" s="2"/>
      <c r="C9" s="2"/>
      <c r="D9" s="2"/>
      <c r="E9" s="2"/>
      <c r="F9" s="2"/>
      <c r="G9" s="2"/>
      <c r="H9" s="2"/>
      <c r="I9" s="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"/>
  <sheetViews>
    <sheetView topLeftCell="A13" workbookViewId="0"/>
  </sheetViews>
  <sheetFormatPr defaultRowHeight="15.75" x14ac:dyDescent="0.25"/>
  <cols>
    <col min="1" max="5" width="9.140625" style="1"/>
    <col min="6" max="6" width="43.28515625" style="1" customWidth="1"/>
    <col min="7" max="7" width="16.28515625" style="1" bestFit="1" customWidth="1"/>
    <col min="8" max="16384" width="9.140625" style="1"/>
  </cols>
  <sheetData>
    <row r="1" spans="1:7" x14ac:dyDescent="0.25">
      <c r="A1" s="2" t="s">
        <v>420</v>
      </c>
    </row>
    <row r="2" spans="1:7" x14ac:dyDescent="0.25">
      <c r="A2" s="203" t="s">
        <v>121</v>
      </c>
      <c r="B2" s="203"/>
      <c r="C2" s="203"/>
      <c r="D2" s="203"/>
      <c r="E2" s="203"/>
      <c r="F2" s="203"/>
      <c r="G2" s="203"/>
    </row>
    <row r="3" spans="1:7" x14ac:dyDescent="0.25">
      <c r="A3" s="193" t="s">
        <v>122</v>
      </c>
      <c r="B3" s="193"/>
      <c r="C3" s="193"/>
      <c r="D3" s="193"/>
      <c r="E3" s="193"/>
      <c r="F3" s="193"/>
      <c r="G3" s="193"/>
    </row>
    <row r="4" spans="1:7" x14ac:dyDescent="0.25">
      <c r="A4" s="193" t="s">
        <v>123</v>
      </c>
      <c r="B4" s="193"/>
      <c r="C4" s="193"/>
      <c r="D4" s="193"/>
      <c r="E4" s="193"/>
      <c r="F4" s="193"/>
      <c r="G4" s="193"/>
    </row>
    <row r="5" spans="1:7" x14ac:dyDescent="0.25">
      <c r="A5" s="1" t="s">
        <v>124</v>
      </c>
      <c r="G5" s="32">
        <f>600000-96000</f>
        <v>504000</v>
      </c>
    </row>
    <row r="6" spans="1:7" x14ac:dyDescent="0.25">
      <c r="A6" s="1" t="s">
        <v>125</v>
      </c>
      <c r="G6" s="32">
        <v>270000</v>
      </c>
    </row>
    <row r="7" spans="1:7" x14ac:dyDescent="0.25">
      <c r="A7" s="1" t="s">
        <v>126</v>
      </c>
      <c r="G7" s="22">
        <f>G5-G6</f>
        <v>234000</v>
      </c>
    </row>
    <row r="8" spans="1:7" x14ac:dyDescent="0.25">
      <c r="A8" s="1" t="s">
        <v>127</v>
      </c>
    </row>
    <row r="9" spans="1:7" x14ac:dyDescent="0.25">
      <c r="A9" s="1" t="s">
        <v>128</v>
      </c>
      <c r="G9" s="32">
        <v>60000</v>
      </c>
    </row>
    <row r="10" spans="1:7" x14ac:dyDescent="0.25">
      <c r="A10" s="1" t="s">
        <v>129</v>
      </c>
      <c r="G10" s="32">
        <v>42000</v>
      </c>
    </row>
    <row r="11" spans="1:7" x14ac:dyDescent="0.25">
      <c r="A11" s="1" t="s">
        <v>130</v>
      </c>
      <c r="G11" s="32">
        <v>25000</v>
      </c>
    </row>
    <row r="12" spans="1:7" x14ac:dyDescent="0.25">
      <c r="A12" s="1" t="s">
        <v>131</v>
      </c>
      <c r="G12" s="22">
        <f>G7-G9-G10+G11</f>
        <v>157000</v>
      </c>
    </row>
    <row r="13" spans="1:7" x14ac:dyDescent="0.25">
      <c r="A13" s="1" t="s">
        <v>132</v>
      </c>
      <c r="G13" s="32">
        <v>36000</v>
      </c>
    </row>
    <row r="14" spans="1:7" x14ac:dyDescent="0.25">
      <c r="A14" s="1" t="s">
        <v>133</v>
      </c>
      <c r="G14" s="32">
        <v>48000</v>
      </c>
    </row>
    <row r="15" spans="1:7" x14ac:dyDescent="0.25">
      <c r="A15" s="1" t="s">
        <v>134</v>
      </c>
      <c r="G15" s="22">
        <f>G12+G13-G14</f>
        <v>145000</v>
      </c>
    </row>
    <row r="16" spans="1:7" x14ac:dyDescent="0.25">
      <c r="A16" s="1" t="s">
        <v>135</v>
      </c>
      <c r="G16" s="32">
        <v>55000</v>
      </c>
    </row>
    <row r="17" spans="1:7" x14ac:dyDescent="0.25">
      <c r="A17" s="1" t="s">
        <v>136</v>
      </c>
      <c r="G17" s="22">
        <f>G15-G16</f>
        <v>90000</v>
      </c>
    </row>
    <row r="19" spans="1:7" x14ac:dyDescent="0.25">
      <c r="A19" s="203" t="s">
        <v>121</v>
      </c>
      <c r="B19" s="203"/>
      <c r="C19" s="203"/>
      <c r="D19" s="203"/>
      <c r="E19" s="203"/>
      <c r="F19" s="203"/>
      <c r="G19" s="203"/>
    </row>
    <row r="20" spans="1:7" x14ac:dyDescent="0.25">
      <c r="A20" s="193" t="s">
        <v>137</v>
      </c>
      <c r="B20" s="193"/>
      <c r="C20" s="193"/>
      <c r="D20" s="193"/>
      <c r="E20" s="193"/>
      <c r="F20" s="193"/>
      <c r="G20" s="193"/>
    </row>
    <row r="21" spans="1:7" x14ac:dyDescent="0.25">
      <c r="A21" s="193" t="s">
        <v>123</v>
      </c>
      <c r="B21" s="193"/>
      <c r="C21" s="193"/>
      <c r="D21" s="193"/>
      <c r="E21" s="193"/>
      <c r="F21" s="193"/>
      <c r="G21" s="193"/>
    </row>
    <row r="22" spans="1:7" x14ac:dyDescent="0.25">
      <c r="A22" s="1" t="s">
        <v>136</v>
      </c>
      <c r="G22" s="22">
        <f>G17</f>
        <v>90000</v>
      </c>
    </row>
    <row r="23" spans="1:7" x14ac:dyDescent="0.25">
      <c r="A23" s="1" t="s">
        <v>138</v>
      </c>
    </row>
    <row r="24" spans="1:7" x14ac:dyDescent="0.25">
      <c r="A24" s="1" t="s">
        <v>139</v>
      </c>
      <c r="G24" s="32">
        <v>18000</v>
      </c>
    </row>
    <row r="25" spans="1:7" x14ac:dyDescent="0.25">
      <c r="A25" s="1" t="s">
        <v>140</v>
      </c>
      <c r="G25" s="32">
        <v>6000</v>
      </c>
    </row>
    <row r="26" spans="1:7" x14ac:dyDescent="0.25">
      <c r="A26" s="1" t="s">
        <v>141</v>
      </c>
      <c r="G26" s="32">
        <v>15000</v>
      </c>
    </row>
    <row r="27" spans="1:7" x14ac:dyDescent="0.25">
      <c r="A27" s="1" t="s">
        <v>142</v>
      </c>
      <c r="G27" s="22">
        <f>G22+G24-G25+G26</f>
        <v>117000</v>
      </c>
    </row>
  </sheetData>
  <mergeCells count="6">
    <mergeCell ref="A21:G21"/>
    <mergeCell ref="A2:G2"/>
    <mergeCell ref="A3:G3"/>
    <mergeCell ref="A4:G4"/>
    <mergeCell ref="A19:G19"/>
    <mergeCell ref="A20:G20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opLeftCell="B1" workbookViewId="0">
      <selection activeCell="P9" sqref="P9"/>
    </sheetView>
  </sheetViews>
  <sheetFormatPr defaultRowHeight="12.75" x14ac:dyDescent="0.2"/>
  <cols>
    <col min="1" max="1" width="3.7109375" style="88" customWidth="1"/>
    <col min="2" max="3" width="16.28515625" style="88" bestFit="1" customWidth="1"/>
    <col min="4" max="5" width="3.7109375" style="88" customWidth="1"/>
    <col min="6" max="7" width="16.28515625" style="88" bestFit="1" customWidth="1"/>
    <col min="8" max="9" width="3.7109375" style="88" customWidth="1"/>
    <col min="10" max="11" width="16.28515625" style="88" bestFit="1" customWidth="1"/>
    <col min="12" max="13" width="3.7109375" style="88" customWidth="1"/>
    <col min="14" max="14" width="15.140625" style="88" bestFit="1" customWidth="1"/>
    <col min="15" max="15" width="16.28515625" style="88" bestFit="1" customWidth="1"/>
    <col min="16" max="16" width="3.7109375" style="88" customWidth="1"/>
    <col min="17" max="16384" width="9.140625" style="88"/>
  </cols>
  <sheetData>
    <row r="1" spans="2:15" ht="15.75" x14ac:dyDescent="0.25">
      <c r="B1" s="2" t="s">
        <v>421</v>
      </c>
    </row>
    <row r="2" spans="2:15" ht="16.5" thickBot="1" x14ac:dyDescent="0.3">
      <c r="B2" s="190" t="s">
        <v>143</v>
      </c>
      <c r="C2" s="190"/>
      <c r="F2" s="190" t="s">
        <v>144</v>
      </c>
      <c r="G2" s="190"/>
      <c r="J2" s="190" t="s">
        <v>145</v>
      </c>
      <c r="K2" s="190"/>
      <c r="N2" s="190" t="s">
        <v>146</v>
      </c>
      <c r="O2" s="190"/>
    </row>
    <row r="3" spans="2:15" ht="15.75" x14ac:dyDescent="0.25">
      <c r="B3" s="27"/>
      <c r="C3" s="28">
        <v>1800</v>
      </c>
      <c r="F3" s="27"/>
      <c r="G3" s="28">
        <v>270</v>
      </c>
      <c r="J3" s="27">
        <f>K3</f>
        <v>200</v>
      </c>
      <c r="K3" s="28">
        <v>200</v>
      </c>
      <c r="N3" s="27">
        <f>5%*O4</f>
        <v>26.6</v>
      </c>
      <c r="O3" s="28">
        <f>B10-G10</f>
        <v>192.5</v>
      </c>
    </row>
    <row r="4" spans="2:15" ht="16.5" thickBot="1" x14ac:dyDescent="0.3">
      <c r="B4" s="89"/>
      <c r="C4" s="90">
        <f>[1]BP!B4</f>
        <v>2400</v>
      </c>
      <c r="F4" s="91"/>
      <c r="G4" s="90">
        <f>N3</f>
        <v>26.6</v>
      </c>
      <c r="J4" s="91"/>
      <c r="K4" s="19"/>
      <c r="N4" s="95">
        <v>600</v>
      </c>
      <c r="O4" s="19">
        <f>B27</f>
        <v>532</v>
      </c>
    </row>
    <row r="5" spans="2:15" ht="15.75" x14ac:dyDescent="0.25">
      <c r="B5" s="92"/>
      <c r="C5" s="93">
        <f>SUM(C3:C4)</f>
        <v>4200</v>
      </c>
      <c r="F5" s="30"/>
      <c r="G5" s="93">
        <f>SUM(G3:G4)</f>
        <v>296.60000000000002</v>
      </c>
      <c r="J5" s="92"/>
      <c r="K5" s="19"/>
      <c r="N5" s="95">
        <f>SUM(O3:O5)-SUM(N3:N4)</f>
        <v>297.89999999999998</v>
      </c>
      <c r="O5" s="19">
        <f>J3</f>
        <v>200</v>
      </c>
    </row>
    <row r="6" spans="2:15" ht="15.75" x14ac:dyDescent="0.25">
      <c r="B6" s="94"/>
      <c r="C6" s="8"/>
      <c r="F6" s="30"/>
      <c r="G6" s="8"/>
      <c r="J6" s="94"/>
      <c r="K6" s="8"/>
      <c r="O6" s="13"/>
    </row>
    <row r="7" spans="2:15" ht="15.75" x14ac:dyDescent="0.25">
      <c r="B7" s="94"/>
      <c r="C7" s="8"/>
      <c r="F7" s="92"/>
      <c r="G7" s="8"/>
      <c r="J7" s="94"/>
      <c r="K7" s="8"/>
      <c r="O7" s="13"/>
    </row>
    <row r="8" spans="2:15" ht="15.75" x14ac:dyDescent="0.25">
      <c r="B8" s="94"/>
      <c r="C8" s="8"/>
      <c r="F8" s="94"/>
      <c r="G8" s="8"/>
      <c r="J8" s="94"/>
      <c r="K8" s="8"/>
      <c r="N8" s="95"/>
      <c r="O8" s="8"/>
    </row>
    <row r="9" spans="2:15" ht="16.5" thickBot="1" x14ac:dyDescent="0.3">
      <c r="B9" s="190" t="s">
        <v>147</v>
      </c>
      <c r="C9" s="190"/>
      <c r="F9" s="190" t="s">
        <v>148</v>
      </c>
      <c r="G9" s="190"/>
      <c r="J9" s="190" t="s">
        <v>149</v>
      </c>
      <c r="K9" s="190"/>
      <c r="N9" s="190" t="s">
        <v>150</v>
      </c>
      <c r="O9" s="190"/>
    </row>
    <row r="10" spans="2:15" ht="15.75" x14ac:dyDescent="0.25">
      <c r="B10" s="96">
        <v>350</v>
      </c>
      <c r="C10" s="28"/>
      <c r="F10" s="27"/>
      <c r="G10" s="97">
        <f>B10*0.45</f>
        <v>157.5</v>
      </c>
      <c r="J10" s="27"/>
      <c r="K10" s="97">
        <f>[1]BP!B6</f>
        <v>1200</v>
      </c>
      <c r="N10" s="98">
        <f>[1]BP!B7</f>
        <v>500</v>
      </c>
      <c r="O10" s="28"/>
    </row>
    <row r="11" spans="2:15" ht="15.75" x14ac:dyDescent="0.25">
      <c r="B11" s="89"/>
      <c r="C11" s="19"/>
      <c r="F11" s="89"/>
      <c r="G11" s="19"/>
      <c r="J11" s="89"/>
      <c r="K11" s="19"/>
      <c r="N11" s="91"/>
      <c r="O11" s="13"/>
    </row>
    <row r="12" spans="2:15" ht="15.75" x14ac:dyDescent="0.25">
      <c r="B12" s="92"/>
      <c r="C12" s="13"/>
      <c r="F12" s="92"/>
      <c r="G12" s="13"/>
      <c r="J12" s="92"/>
      <c r="K12" s="13"/>
      <c r="N12" s="92"/>
      <c r="O12" s="13"/>
    </row>
    <row r="13" spans="2:15" x14ac:dyDescent="0.2">
      <c r="F13" s="204"/>
      <c r="G13" s="204"/>
    </row>
    <row r="14" spans="2:15" x14ac:dyDescent="0.2">
      <c r="F14" s="99"/>
      <c r="G14" s="99"/>
    </row>
    <row r="15" spans="2:15" ht="16.5" thickBot="1" x14ac:dyDescent="0.3">
      <c r="B15" s="190" t="s">
        <v>151</v>
      </c>
      <c r="C15" s="190"/>
      <c r="F15" s="190" t="s">
        <v>152</v>
      </c>
      <c r="G15" s="190"/>
      <c r="J15" s="190" t="s">
        <v>153</v>
      </c>
      <c r="K15" s="190"/>
      <c r="N15" s="190" t="s">
        <v>154</v>
      </c>
      <c r="O15" s="190"/>
    </row>
    <row r="16" spans="2:15" ht="15.75" x14ac:dyDescent="0.25">
      <c r="B16" s="91">
        <v>2270</v>
      </c>
      <c r="C16" s="28">
        <f>N10</f>
        <v>500</v>
      </c>
      <c r="F16" s="100">
        <v>2000</v>
      </c>
      <c r="G16" s="28">
        <f>B18</f>
        <v>2100</v>
      </c>
      <c r="J16" s="100">
        <f>0.7*K16</f>
        <v>700</v>
      </c>
      <c r="K16" s="28">
        <f>F17</f>
        <v>1000</v>
      </c>
      <c r="N16" s="100">
        <f>O16</f>
        <v>700</v>
      </c>
      <c r="O16" s="97">
        <f>J16</f>
        <v>700</v>
      </c>
    </row>
    <row r="17" spans="2:15" ht="15.75" x14ac:dyDescent="0.25">
      <c r="B17" s="91">
        <f>C4+K10</f>
        <v>3600</v>
      </c>
      <c r="C17" s="19">
        <f>F16</f>
        <v>2000</v>
      </c>
      <c r="F17" s="91">
        <v>1000</v>
      </c>
      <c r="G17" s="19"/>
      <c r="J17" s="91"/>
      <c r="K17" s="59">
        <f>F18</f>
        <v>100</v>
      </c>
      <c r="N17" s="91"/>
      <c r="O17" s="13"/>
    </row>
    <row r="18" spans="2:15" ht="15.75" x14ac:dyDescent="0.25">
      <c r="B18" s="30">
        <v>2100</v>
      </c>
      <c r="C18" s="101">
        <f>B22</f>
        <v>400</v>
      </c>
      <c r="F18" s="59">
        <v>100</v>
      </c>
      <c r="G18" s="13"/>
      <c r="J18" s="92"/>
      <c r="K18" s="93">
        <f>K16+K17-J16</f>
        <v>400</v>
      </c>
      <c r="N18" s="92"/>
      <c r="O18" s="13"/>
    </row>
    <row r="19" spans="2:15" ht="15.75" x14ac:dyDescent="0.25">
      <c r="B19" s="102">
        <f>B16+B17+B18-C16-C17-C18</f>
        <v>5070</v>
      </c>
      <c r="C19" s="103"/>
      <c r="F19" s="102">
        <f>F16+F17+F18-G16</f>
        <v>1000</v>
      </c>
      <c r="G19" s="8"/>
      <c r="J19" s="94"/>
      <c r="N19" s="94"/>
      <c r="O19" s="8"/>
    </row>
    <row r="21" spans="2:15" ht="16.5" thickBot="1" x14ac:dyDescent="0.3">
      <c r="B21" s="190" t="s">
        <v>155</v>
      </c>
      <c r="C21" s="190"/>
      <c r="F21" s="190" t="s">
        <v>156</v>
      </c>
      <c r="G21" s="190"/>
      <c r="J21" s="190" t="s">
        <v>163</v>
      </c>
      <c r="K21" s="190"/>
      <c r="N21" s="190" t="s">
        <v>159</v>
      </c>
      <c r="O21" s="190"/>
    </row>
    <row r="22" spans="2:15" ht="15.75" x14ac:dyDescent="0.25">
      <c r="B22" s="96">
        <v>400</v>
      </c>
      <c r="C22" s="28"/>
      <c r="F22" s="100"/>
      <c r="G22" s="97">
        <f>N4</f>
        <v>600</v>
      </c>
      <c r="J22" s="100"/>
      <c r="K22" s="97">
        <f>N5</f>
        <v>297.89999999999998</v>
      </c>
      <c r="N22" s="100"/>
      <c r="O22" s="97">
        <f>F27</f>
        <v>168</v>
      </c>
    </row>
    <row r="23" spans="2:15" ht="15.75" x14ac:dyDescent="0.25">
      <c r="B23" s="91"/>
      <c r="C23" s="13"/>
      <c r="F23" s="91"/>
      <c r="G23" s="13"/>
      <c r="J23" s="91"/>
      <c r="K23" s="13"/>
      <c r="N23" s="91"/>
      <c r="O23" s="13"/>
    </row>
    <row r="24" spans="2:15" ht="15.75" x14ac:dyDescent="0.25">
      <c r="B24" s="92"/>
      <c r="C24" s="13"/>
      <c r="F24" s="92"/>
      <c r="G24" s="13"/>
      <c r="J24" s="92"/>
      <c r="K24" s="13"/>
      <c r="N24" s="92"/>
      <c r="O24" s="13"/>
    </row>
    <row r="26" spans="2:15" ht="16.5" thickBot="1" x14ac:dyDescent="0.3">
      <c r="B26" s="190" t="s">
        <v>157</v>
      </c>
      <c r="C26" s="190"/>
      <c r="F26" s="190" t="s">
        <v>158</v>
      </c>
      <c r="G26" s="190"/>
    </row>
    <row r="27" spans="2:15" ht="15.75" x14ac:dyDescent="0.25">
      <c r="B27" s="100">
        <f>C27</f>
        <v>532</v>
      </c>
      <c r="C27" s="28">
        <f>O16-F27</f>
        <v>532</v>
      </c>
      <c r="F27" s="100">
        <f>O16*0.24</f>
        <v>168</v>
      </c>
      <c r="G27" s="28"/>
    </row>
    <row r="28" spans="2:15" ht="15.75" x14ac:dyDescent="0.25">
      <c r="B28" s="91"/>
      <c r="C28" s="13"/>
      <c r="F28" s="91"/>
      <c r="G28" s="13"/>
    </row>
    <row r="29" spans="2:15" ht="15.75" x14ac:dyDescent="0.25">
      <c r="B29" s="92"/>
      <c r="C29" s="13"/>
      <c r="F29" s="92"/>
      <c r="G29" s="13"/>
    </row>
    <row r="31" spans="2:15" ht="15.75" x14ac:dyDescent="0.25">
      <c r="B31" s="202" t="s">
        <v>160</v>
      </c>
      <c r="C31" s="202"/>
    </row>
    <row r="32" spans="2:15" ht="15.75" x14ac:dyDescent="0.25">
      <c r="B32" s="104" t="s">
        <v>161</v>
      </c>
      <c r="C32" s="105">
        <f>B10+N10+B19+F19+B22</f>
        <v>7320</v>
      </c>
    </row>
    <row r="33" spans="2:3" ht="15.75" x14ac:dyDescent="0.25">
      <c r="B33" s="104" t="s">
        <v>162</v>
      </c>
      <c r="C33" s="105">
        <f>C5+G5+G10+K10+K18+G22+K22+O22</f>
        <v>7320</v>
      </c>
    </row>
  </sheetData>
  <mergeCells count="20">
    <mergeCell ref="B26:C26"/>
    <mergeCell ref="F26:G26"/>
    <mergeCell ref="N21:O21"/>
    <mergeCell ref="B31:C31"/>
    <mergeCell ref="F13:G13"/>
    <mergeCell ref="B15:C15"/>
    <mergeCell ref="F15:G15"/>
    <mergeCell ref="J15:K15"/>
    <mergeCell ref="N15:O15"/>
    <mergeCell ref="B21:C21"/>
    <mergeCell ref="F21:G21"/>
    <mergeCell ref="J21:K21"/>
    <mergeCell ref="B2:C2"/>
    <mergeCell ref="F2:G2"/>
    <mergeCell ref="J2:K2"/>
    <mergeCell ref="N2:O2"/>
    <mergeCell ref="B9:C9"/>
    <mergeCell ref="F9:G9"/>
    <mergeCell ref="J9:K9"/>
    <mergeCell ref="N9:O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23" sqref="E23"/>
    </sheetView>
  </sheetViews>
  <sheetFormatPr defaultRowHeight="15.75" x14ac:dyDescent="0.25"/>
  <cols>
    <col min="1" max="1" width="40.7109375" style="46" customWidth="1"/>
    <col min="2" max="2" width="14" style="46" bestFit="1" customWidth="1"/>
    <col min="3" max="3" width="39.28515625" style="46" customWidth="1"/>
    <col min="4" max="4" width="30.7109375" style="46" bestFit="1" customWidth="1"/>
    <col min="5" max="5" width="14" style="46" bestFit="1" customWidth="1"/>
    <col min="6" max="16384" width="9.140625" style="46"/>
  </cols>
  <sheetData>
    <row r="1" spans="1:10" x14ac:dyDescent="0.25">
      <c r="A1" s="202" t="s">
        <v>164</v>
      </c>
      <c r="B1" s="202"/>
    </row>
    <row r="2" spans="1:10" x14ac:dyDescent="0.25">
      <c r="A2" s="46" t="s">
        <v>165</v>
      </c>
      <c r="B2" s="46">
        <v>2000</v>
      </c>
    </row>
    <row r="3" spans="1:10" x14ac:dyDescent="0.25">
      <c r="A3" s="46" t="s">
        <v>166</v>
      </c>
      <c r="B3" s="59">
        <v>1.2</v>
      </c>
    </row>
    <row r="4" spans="1:10" x14ac:dyDescent="0.25">
      <c r="A4" s="46" t="s">
        <v>167</v>
      </c>
      <c r="B4" s="60">
        <f>B2*B3</f>
        <v>2400</v>
      </c>
    </row>
    <row r="5" spans="1:10" x14ac:dyDescent="0.25">
      <c r="A5" s="46" t="s">
        <v>168</v>
      </c>
      <c r="B5" s="106">
        <f>1.8*2000</f>
        <v>3600</v>
      </c>
    </row>
    <row r="6" spans="1:10" x14ac:dyDescent="0.25">
      <c r="A6" s="46" t="s">
        <v>169</v>
      </c>
      <c r="B6" s="60">
        <f>B5-B4</f>
        <v>1200</v>
      </c>
    </row>
    <row r="7" spans="1:10" x14ac:dyDescent="0.25">
      <c r="A7" s="46" t="s">
        <v>170</v>
      </c>
      <c r="B7" s="60">
        <v>500</v>
      </c>
    </row>
    <row r="9" spans="1:10" x14ac:dyDescent="0.25">
      <c r="A9" s="205" t="s">
        <v>171</v>
      </c>
      <c r="B9" s="205"/>
      <c r="C9" s="205"/>
      <c r="D9" s="205"/>
      <c r="E9" s="64"/>
      <c r="F9" s="64"/>
      <c r="G9" s="64"/>
      <c r="H9" s="64"/>
      <c r="I9" s="64"/>
      <c r="J9" s="64"/>
    </row>
    <row r="10" spans="1:10" x14ac:dyDescent="0.25">
      <c r="A10" s="206" t="s">
        <v>172</v>
      </c>
      <c r="B10" s="207"/>
      <c r="C10" s="206" t="s">
        <v>173</v>
      </c>
      <c r="D10" s="208"/>
    </row>
    <row r="11" spans="1:10" x14ac:dyDescent="0.25">
      <c r="A11" s="209" t="s">
        <v>174</v>
      </c>
      <c r="B11" s="210"/>
      <c r="C11" s="209" t="s">
        <v>174</v>
      </c>
      <c r="D11" s="211"/>
    </row>
    <row r="12" spans="1:10" x14ac:dyDescent="0.25">
      <c r="A12" s="108" t="s">
        <v>175</v>
      </c>
      <c r="B12" s="109">
        <f>'Atv08 razonetes'!B19</f>
        <v>5070</v>
      </c>
      <c r="C12" s="110" t="s">
        <v>159</v>
      </c>
      <c r="D12" s="111">
        <f>'Atv08 razonetes'!O22</f>
        <v>168</v>
      </c>
    </row>
    <row r="13" spans="1:10" x14ac:dyDescent="0.25">
      <c r="A13" s="110" t="s">
        <v>147</v>
      </c>
      <c r="B13" s="112">
        <f>'Atv08 razonetes'!B10</f>
        <v>350</v>
      </c>
      <c r="C13" s="108" t="s">
        <v>176</v>
      </c>
      <c r="D13" s="111">
        <f>'Atv08 razonetes'!G10</f>
        <v>157.5</v>
      </c>
    </row>
    <row r="14" spans="1:10" x14ac:dyDescent="0.25">
      <c r="A14" s="110" t="s">
        <v>152</v>
      </c>
      <c r="B14" s="112">
        <f>'Atv08 razonetes'!F19</f>
        <v>1000</v>
      </c>
      <c r="C14" s="108" t="s">
        <v>177</v>
      </c>
      <c r="D14" s="111">
        <f>'Atv08 razonetes'!G22</f>
        <v>600</v>
      </c>
    </row>
    <row r="15" spans="1:10" x14ac:dyDescent="0.25">
      <c r="A15" s="113" t="s">
        <v>178</v>
      </c>
      <c r="B15" s="114">
        <f>SUM(B12:B14)</f>
        <v>6420</v>
      </c>
      <c r="C15" s="113" t="s">
        <v>178</v>
      </c>
      <c r="D15" s="115">
        <f>D12+D13+D14</f>
        <v>925.5</v>
      </c>
    </row>
    <row r="16" spans="1:10" x14ac:dyDescent="0.25">
      <c r="A16" s="113"/>
      <c r="B16" s="114"/>
      <c r="C16" s="113"/>
      <c r="D16" s="111"/>
    </row>
    <row r="17" spans="1:4" x14ac:dyDescent="0.25">
      <c r="A17" s="108"/>
      <c r="B17" s="116"/>
      <c r="C17" s="113" t="s">
        <v>179</v>
      </c>
      <c r="D17" s="117"/>
    </row>
    <row r="18" spans="1:4" x14ac:dyDescent="0.25">
      <c r="A18" s="108"/>
      <c r="B18" s="116"/>
      <c r="C18" s="108" t="s">
        <v>143</v>
      </c>
      <c r="D18" s="111">
        <f>'Atv08 razonetes'!C5-'Atv08 razonetes'!N10</f>
        <v>3700</v>
      </c>
    </row>
    <row r="19" spans="1:4" x14ac:dyDescent="0.25">
      <c r="A19" s="108"/>
      <c r="B19" s="116"/>
      <c r="C19" s="108" t="s">
        <v>180</v>
      </c>
      <c r="D19" s="111">
        <f>'Atv08 razonetes'!B22</f>
        <v>400</v>
      </c>
    </row>
    <row r="20" spans="1:4" x14ac:dyDescent="0.25">
      <c r="A20" s="108"/>
      <c r="B20" s="116"/>
      <c r="C20" s="108" t="s">
        <v>149</v>
      </c>
      <c r="D20" s="111">
        <f>'Atv08 razonetes'!K10</f>
        <v>1200</v>
      </c>
    </row>
    <row r="21" spans="1:4" x14ac:dyDescent="0.25">
      <c r="A21" s="108"/>
      <c r="B21" s="116"/>
      <c r="C21" s="108" t="s">
        <v>181</v>
      </c>
      <c r="D21" s="111">
        <f>'Atv08 razonetes'!G5</f>
        <v>296.60000000000002</v>
      </c>
    </row>
    <row r="22" spans="1:4" x14ac:dyDescent="0.25">
      <c r="A22" s="108"/>
      <c r="B22" s="116"/>
      <c r="C22" s="108" t="s">
        <v>182</v>
      </c>
      <c r="D22" s="111">
        <f>'Atv08 razonetes'!K22</f>
        <v>297.89999999999998</v>
      </c>
    </row>
    <row r="23" spans="1:4" x14ac:dyDescent="0.25">
      <c r="A23" s="108"/>
      <c r="B23" s="116"/>
      <c r="C23" s="108" t="s">
        <v>183</v>
      </c>
      <c r="D23" s="111">
        <f>'Atv08 razonetes'!K18</f>
        <v>400</v>
      </c>
    </row>
    <row r="24" spans="1:4" x14ac:dyDescent="0.25">
      <c r="A24" s="108"/>
      <c r="B24" s="116"/>
      <c r="C24" s="113" t="s">
        <v>184</v>
      </c>
      <c r="D24" s="115">
        <f>D18-D19+D20+D21+D22+D23</f>
        <v>5494.5</v>
      </c>
    </row>
    <row r="25" spans="1:4" x14ac:dyDescent="0.25">
      <c r="A25" s="113" t="s">
        <v>185</v>
      </c>
      <c r="B25" s="114">
        <f>B15</f>
        <v>6420</v>
      </c>
      <c r="C25" s="113" t="s">
        <v>186</v>
      </c>
      <c r="D25" s="115">
        <f>D15+D24</f>
        <v>6420</v>
      </c>
    </row>
  </sheetData>
  <mergeCells count="6">
    <mergeCell ref="A1:B1"/>
    <mergeCell ref="A9:D9"/>
    <mergeCell ref="A10:B10"/>
    <mergeCell ref="C10:D10"/>
    <mergeCell ref="A11:B11"/>
    <mergeCell ref="C11:D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Atv01 - CPC00</vt:lpstr>
      <vt:lpstr>Atv02 CPC16</vt:lpstr>
      <vt:lpstr>Atv03 CPC01</vt:lpstr>
      <vt:lpstr>Atv04 CPC27</vt:lpstr>
      <vt:lpstr>Atv05 CPC06</vt:lpstr>
      <vt:lpstr>Atv06 CPC25</vt:lpstr>
      <vt:lpstr>Atv07 DR e DRA</vt:lpstr>
      <vt:lpstr>Atv08 razonetes</vt:lpstr>
      <vt:lpstr>Atv08 BP</vt:lpstr>
      <vt:lpstr>Atv08 DMPL</vt:lpstr>
      <vt:lpstr>Atv09 DFC direta</vt:lpstr>
      <vt:lpstr>Atv10 DFC indireta</vt:lpstr>
      <vt:lpstr>Atv11 DVA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2016-09-02T13:48:15Z</dcterms:created>
  <dcterms:modified xsi:type="dcterms:W3CDTF">2016-09-06T20:38:33Z</dcterms:modified>
</cp:coreProperties>
</file>